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ciones" sheetId="1" r:id="rId1"/>
    <sheet name="Hipoteca" sheetId="2" r:id="rId2"/>
    <sheet name="Cuadro" sheetId="3" r:id="rId3"/>
    <sheet name="Anual" sheetId="4" r:id="rId4"/>
    <sheet name="Listas" sheetId="5" r:id="rId5"/>
  </sheets>
  <definedNames>
    <definedName name="_xlnm.Print_Area" localSheetId="3">Anual!$A$1:$F$34</definedName>
    <definedName name="_xlnm.Print_Area" localSheetId="2">Cuadro!$A$1:$R$45</definedName>
    <definedName name="_xlnm.Print_Area" localSheetId="1">Hipoteca!$A$1:$J$46</definedName>
    <definedName name="_xlnm.Print_Area" localSheetId="0">Instrucciones!$A$1:$C$16</definedName>
    <definedName name="_xlnm.Print_Titles" localSheetId="2">Cuadro!$5:$5</definedName>
  </definedNames>
  <calcPr calcId="124519" fullCalcOnLoad="1"/>
</workbook>
</file>

<file path=xl/sharedStrings.xml><?xml version="1.0" encoding="utf-8"?>
<sst xmlns="http://schemas.openxmlformats.org/spreadsheetml/2006/main" count="73" uniqueCount="70">
  <si>
    <t>Listas</t>
  </si>
  <si>
    <t>Modo de amortización anticipada</t>
  </si>
  <si>
    <t>Reducir plazo</t>
  </si>
  <si>
    <t>Reducir cuota</t>
  </si>
  <si>
    <t>Tu hipoteca</t>
  </si>
  <si>
    <t>Rellena las celdas amarillas en azul. El cuadro de amortización y el resumen se calculan solos.</t>
  </si>
  <si>
    <t>Datos del préstamo</t>
  </si>
  <si>
    <t>Capital pendiente (€)</t>
  </si>
  <si>
    <t>Plazo restante (años)</t>
  </si>
  <si>
    <t>TIN anual inicial</t>
  </si>
  <si>
    <t>Fecha de la primera cuota</t>
  </si>
  <si>
    <t>Qué haces al amortizar anticipadamente</t>
  </si>
  <si>
    <t>Comisión por amortización anticipada</t>
  </si>
  <si>
    <t>Revisión de tipo (fecha)</t>
  </si>
  <si>
    <t>Nuevo TIN</t>
  </si>
  <si>
    <t>Amortización anticipada (fecha)</t>
  </si>
  <si>
    <t>Importe (€)</t>
  </si>
  <si>
    <t>Apunta cada cambio de tipo (por ejemplo, la revisión anual del euríbor) con la fecha desde la que rige.</t>
  </si>
  <si>
    <t>Una fila por cada entrega extra. Se aplica en el mes de la fecha.</t>
  </si>
  <si>
    <t>Resumen</t>
  </si>
  <si>
    <t>Cuota inicial</t>
  </si>
  <si>
    <t>Cuota más alta</t>
  </si>
  <si>
    <t>Total de intereses</t>
  </si>
  <si>
    <t>Total que habrás pagado</t>
  </si>
  <si>
    <t>Cuotas que pagarás</t>
  </si>
  <si>
    <t>Fecha de la última cuota</t>
  </si>
  <si>
    <t>Duración</t>
  </si>
  <si>
    <t>Intereses ahorrados con tus amortizaciones</t>
  </si>
  <si>
    <t>Meses menos de hipoteca</t>
  </si>
  <si>
    <t>Comisiones por amortizar</t>
  </si>
  <si>
    <t>Cómo se calcula: sistema francés (cuota constante entre revisiones), con interés mensual TIN/12. En cada revisión de tipo la cuota se recalcula sobre el saldo y el plazo que quedan. "Reducir plazo" mantiene la cuota y acorta la hipoteca; "Reducir cuota" mantiene la fecha final y baja la cuota. No incluye seguros vinculados, gastos ni bonificaciones: el TAE real puede ser mayor.</t>
  </si>
  <si>
    <t>Cuadro de amortización</t>
  </si>
  <si>
    <t>Mes a mes. Las columnas de la derecha (en gris) son la misma hipoteca sin tus amortizaciones anticipadas, para comparar.</t>
  </si>
  <si>
    <t>Nº</t>
  </si>
  <si>
    <t>Fecha</t>
  </si>
  <si>
    <t>TIN</t>
  </si>
  <si>
    <t>Saldo inicial</t>
  </si>
  <si>
    <t>Cuota</t>
  </si>
  <si>
    <t>Intereses</t>
  </si>
  <si>
    <t>Capital</t>
  </si>
  <si>
    <t>Amortización anticipada</t>
  </si>
  <si>
    <t>Saldo final</t>
  </si>
  <si>
    <t>Meses que quedan</t>
  </si>
  <si>
    <t>Año</t>
  </si>
  <si>
    <t>Saldo inicial (sin amortizar)</t>
  </si>
  <si>
    <t>Cuota (sin amortizar)</t>
  </si>
  <si>
    <t>Intereses (sin amortizar)</t>
  </si>
  <si>
    <t>Capital (sin amortizar)</t>
  </si>
  <si>
    <t>Saldo final (sin amortizar)</t>
  </si>
  <si>
    <t>Año a año</t>
  </si>
  <si>
    <t>Cuánto pagas cada año de intereses y de capital, y cuánto debes al terminar el año.</t>
  </si>
  <si>
    <t>Capital (cuotas)</t>
  </si>
  <si>
    <t>Amortizaciones</t>
  </si>
  <si>
    <t>Deuda a 31 dic.</t>
  </si>
  <si>
    <t>Plantilla de hipoteca</t>
  </si>
  <si>
    <t>Calcula tu cuota, tus intereses y qué pasa si amortizas o cambia el euríbor. Cada paso, en la hoja Hipoteca.</t>
  </si>
  <si>
    <t>1</t>
  </si>
  <si>
    <t>Rellena Datos del préstamo: capital pendiente, años que quedan, TIN y fecha de la próxima cuota.</t>
  </si>
  <si>
    <t>2</t>
  </si>
  <si>
    <t>Si tu hipoteca es variable, apunta cada revisión de tipo (fecha y nuevo TIN) en la tabla de la derecha.</t>
  </si>
  <si>
    <t>3</t>
  </si>
  <si>
    <t>Si ya has amortizado o vas a hacerlo, apunta la fecha y el importe de cada entrega extra.</t>
  </si>
  <si>
    <t>4</t>
  </si>
  <si>
    <t>Elige si amortizar reduce la cuota o el plazo, y mira el resumen: intereses ahorrados y meses menos.</t>
  </si>
  <si>
    <t>5</t>
  </si>
  <si>
    <t>Consulta el Cuadro de amortización (mes a mes) y la hoja Anual (cuánto pagas de intereses y de capital cada año).</t>
  </si>
  <si>
    <t>Colores: celdas amarillas con texto azul = las rellenas tú; el resto se calcula solo. No borres las fórmulas.</t>
  </si>
  <si>
    <t>Límites: hasta 40 años y 6 revisiones de tipo y 12 amortizaciones anticipadas. Los datos de ejemplo son ficticios.</t>
  </si>
  <si>
    <t>No incluye seguros, gastos ni bonificaciones. Información educativa, no asesoramiento financiero.</t>
  </si>
  <si>
    <t>Más herramientas gratis en wealthuncut.com (simulador de hipoteca con euríbor, amortizar, alquilar o comprar).</t>
  </si>
</sst>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dd/mm/yyyy"/>
    <numFmt numFmtId="166" formatCode="0.00%"/>
    <numFmt numFmtId="167" formatCode="#,##0.00 &quot;€&quot;;-#,##0.00 &quot;€&quot;;&quot;-&quot;"/>
  </numFmts>
  <fonts count="10">
    <font>
      <sz val="11"/>
      <color theme="1"/>
      <name val="Calibri"/>
      <family val="2"/>
      <scheme val="minor"/>
    </font>
    <font>
      <sz val="10"/>
      <color rgb="FF1F2A24"/>
      <name val="Arial"/>
      <family val="2"/>
    </font>
    <font>
      <b/>
      <sz val="20"/>
      <color rgb="FF1E4A3A"/>
      <name val="Arial"/>
      <family val="2"/>
    </font>
    <font>
      <i/>
      <sz val="10"/>
      <color rgb="FF6B7A72"/>
      <name val="Arial"/>
      <family val="2"/>
    </font>
    <font>
      <b/>
      <sz val="10"/>
      <color rgb="FF1E4A3A"/>
      <name val="Arial"/>
      <family val="2"/>
    </font>
    <font>
      <i/>
      <sz val="9"/>
      <color rgb="FF6B7A72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b/>
      <sz val="10"/>
      <color rgb="FF1F2A24"/>
      <name val="Arial"/>
      <family val="2"/>
    </font>
    <font>
      <sz val="9"/>
      <color rgb="FF6B7A7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E4A3A"/>
        <bgColor indexed="64"/>
      </patternFill>
    </fill>
    <fill>
      <patternFill patternType="solid">
        <fgColor rgb="FFFFF8DC"/>
        <bgColor indexed="64"/>
      </patternFill>
    </fill>
    <fill>
      <patternFill patternType="solid">
        <fgColor rgb="FFE3EDE7"/>
        <bgColor indexed="64"/>
      </patternFill>
    </fill>
  </fills>
  <borders count="3">
    <border>
      <left/>
      <right/>
      <top/>
      <bottom/>
      <diagonal/>
    </border>
    <border>
      <left style="thin">
        <color rgb="FF1E4A3A"/>
      </left>
      <right style="thin">
        <color rgb="FF1E4A3A"/>
      </right>
      <top style="thin">
        <color rgb="FF1E4A3A"/>
      </top>
      <bottom style="thin">
        <color rgb="FF1E4A3A"/>
      </bottom>
      <diagonal/>
    </border>
    <border>
      <left style="thin">
        <color rgb="FFD9D2C0"/>
      </left>
      <right style="thin">
        <color rgb="FFD9D2C0"/>
      </right>
      <top style="thin">
        <color rgb="FFD9D2C0"/>
      </top>
      <bottom style="thin">
        <color rgb="FFD9D2C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indent="1"/>
    </xf>
    <xf numFmtId="164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horizontal="center" vertical="center"/>
    </xf>
    <xf numFmtId="166" fontId="7" fillId="3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1" fillId="4" borderId="2" xfId="0" applyFont="1" applyFill="1" applyBorder="1" applyAlignment="1">
      <alignment horizontal="left" vertical="center" indent="1"/>
    </xf>
    <xf numFmtId="164" fontId="8" fillId="4" borderId="2" xfId="0" applyNumberFormat="1" applyFont="1" applyFill="1" applyBorder="1" applyAlignment="1">
      <alignment horizontal="right" vertical="center"/>
    </xf>
    <xf numFmtId="1" fontId="8" fillId="4" borderId="2" xfId="0" applyNumberFormat="1" applyFont="1" applyFill="1" applyBorder="1" applyAlignment="1">
      <alignment horizontal="right" vertical="center"/>
    </xf>
    <xf numFmtId="165" fontId="8" fillId="4" borderId="2" xfId="0" applyNumberFormat="1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167" fontId="1" fillId="0" borderId="2" xfId="0" applyNumberFormat="1" applyFont="1" applyBorder="1" applyAlignment="1">
      <alignment vertical="center"/>
    </xf>
    <xf numFmtId="167" fontId="9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>
                <a:solidFill>
                  <a:srgbClr val="1F2A24"/>
                </a:solidFill>
                <a:latin typeface="Arial"/>
              </a:defRPr>
            </a:pPr>
            <a:r>
              <a:rPr lang="en-US" sz="1100" baseline="0">
                <a:solidFill>
                  <a:srgbClr val="1F2A24"/>
                </a:solidFill>
                <a:latin typeface="Arial"/>
              </a:rPr>
              <a:t>Cuánto debes con el tiempo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Con tus amortizaciones</c:v>
          </c:tx>
          <c:spPr>
            <a:ln w="31750">
              <a:solidFill>
                <a:srgbClr val="1E4A3A"/>
              </a:solidFill>
            </a:ln>
          </c:spPr>
          <c:marker>
            <c:symbol val="none"/>
          </c:marker>
          <c:cat>
            <c:numRef>
              <c:f>Cuadro!$C$6:$C$485</c:f>
              <c:numCache>
                <c:formatCode>General</c:formatCode>
                <c:ptCount val="480"/>
                <c:pt idx="0">
                  <c:v>46327.0</c:v>
                </c:pt>
                <c:pt idx="1">
                  <c:v>46357.0</c:v>
                </c:pt>
                <c:pt idx="2">
                  <c:v>46388.0</c:v>
                </c:pt>
                <c:pt idx="3">
                  <c:v>46419.0</c:v>
                </c:pt>
                <c:pt idx="4">
                  <c:v>46447.0</c:v>
                </c:pt>
                <c:pt idx="5">
                  <c:v>46478.0</c:v>
                </c:pt>
                <c:pt idx="6">
                  <c:v>46508.0</c:v>
                </c:pt>
                <c:pt idx="7">
                  <c:v>46539.0</c:v>
                </c:pt>
                <c:pt idx="8">
                  <c:v>46569.0</c:v>
                </c:pt>
                <c:pt idx="9">
                  <c:v>46600.0</c:v>
                </c:pt>
                <c:pt idx="10">
                  <c:v>46631.0</c:v>
                </c:pt>
                <c:pt idx="11">
                  <c:v>46661.0</c:v>
                </c:pt>
                <c:pt idx="12">
                  <c:v>46692.0</c:v>
                </c:pt>
                <c:pt idx="13">
                  <c:v>46722.0</c:v>
                </c:pt>
                <c:pt idx="14">
                  <c:v>46753.0</c:v>
                </c:pt>
                <c:pt idx="15">
                  <c:v>46784.0</c:v>
                </c:pt>
                <c:pt idx="16">
                  <c:v>46813.0</c:v>
                </c:pt>
                <c:pt idx="17">
                  <c:v>46844.0</c:v>
                </c:pt>
                <c:pt idx="18">
                  <c:v>46874.0</c:v>
                </c:pt>
                <c:pt idx="19">
                  <c:v>46905.0</c:v>
                </c:pt>
                <c:pt idx="20">
                  <c:v>46935.0</c:v>
                </c:pt>
                <c:pt idx="21">
                  <c:v>46966.0</c:v>
                </c:pt>
                <c:pt idx="22">
                  <c:v>46997.0</c:v>
                </c:pt>
                <c:pt idx="23">
                  <c:v>47027.0</c:v>
                </c:pt>
                <c:pt idx="24">
                  <c:v>47058.0</c:v>
                </c:pt>
                <c:pt idx="25">
                  <c:v>47088.0</c:v>
                </c:pt>
                <c:pt idx="26">
                  <c:v>47119.0</c:v>
                </c:pt>
                <c:pt idx="27">
                  <c:v>47150.0</c:v>
                </c:pt>
                <c:pt idx="28">
                  <c:v>47178.0</c:v>
                </c:pt>
                <c:pt idx="29">
                  <c:v>47209.0</c:v>
                </c:pt>
                <c:pt idx="30">
                  <c:v>47239.0</c:v>
                </c:pt>
                <c:pt idx="31">
                  <c:v>47270.0</c:v>
                </c:pt>
                <c:pt idx="32">
                  <c:v>47300.0</c:v>
                </c:pt>
                <c:pt idx="33">
                  <c:v>47331.0</c:v>
                </c:pt>
                <c:pt idx="34">
                  <c:v>47362.0</c:v>
                </c:pt>
                <c:pt idx="35">
                  <c:v>47392.0</c:v>
                </c:pt>
                <c:pt idx="36">
                  <c:v>47423.0</c:v>
                </c:pt>
                <c:pt idx="37">
                  <c:v>47453.0</c:v>
                </c:pt>
                <c:pt idx="38">
                  <c:v>47484.0</c:v>
                </c:pt>
                <c:pt idx="39">
                  <c:v>47515.0</c:v>
                </c:pt>
                <c:pt idx="40">
                  <c:v>47543.0</c:v>
                </c:pt>
                <c:pt idx="41">
                  <c:v>47574.0</c:v>
                </c:pt>
                <c:pt idx="42">
                  <c:v>47604.0</c:v>
                </c:pt>
                <c:pt idx="43">
                  <c:v>47635.0</c:v>
                </c:pt>
                <c:pt idx="44">
                  <c:v>47665.0</c:v>
                </c:pt>
                <c:pt idx="45">
                  <c:v>47696.0</c:v>
                </c:pt>
                <c:pt idx="46">
                  <c:v>47727.0</c:v>
                </c:pt>
                <c:pt idx="47">
                  <c:v>47757.0</c:v>
                </c:pt>
                <c:pt idx="48">
                  <c:v>47788.0</c:v>
                </c:pt>
                <c:pt idx="49">
                  <c:v>47818.0</c:v>
                </c:pt>
                <c:pt idx="50">
                  <c:v>47849.0</c:v>
                </c:pt>
                <c:pt idx="51">
                  <c:v>47880.0</c:v>
                </c:pt>
                <c:pt idx="52">
                  <c:v>47908.0</c:v>
                </c:pt>
                <c:pt idx="53">
                  <c:v>47939.0</c:v>
                </c:pt>
                <c:pt idx="54">
                  <c:v>47969.0</c:v>
                </c:pt>
                <c:pt idx="55">
                  <c:v>48000.0</c:v>
                </c:pt>
                <c:pt idx="56">
                  <c:v>48030.0</c:v>
                </c:pt>
                <c:pt idx="57">
                  <c:v>48061.0</c:v>
                </c:pt>
                <c:pt idx="58">
                  <c:v>48092.0</c:v>
                </c:pt>
                <c:pt idx="59">
                  <c:v>48122.0</c:v>
                </c:pt>
                <c:pt idx="60">
                  <c:v>48153.0</c:v>
                </c:pt>
                <c:pt idx="61">
                  <c:v>48183.0</c:v>
                </c:pt>
                <c:pt idx="62">
                  <c:v>48214.0</c:v>
                </c:pt>
                <c:pt idx="63">
                  <c:v>48245.0</c:v>
                </c:pt>
                <c:pt idx="64">
                  <c:v>48274.0</c:v>
                </c:pt>
                <c:pt idx="65">
                  <c:v>48305.0</c:v>
                </c:pt>
                <c:pt idx="66">
                  <c:v>48335.0</c:v>
                </c:pt>
                <c:pt idx="67">
                  <c:v>48366.0</c:v>
                </c:pt>
                <c:pt idx="68">
                  <c:v>48396.0</c:v>
                </c:pt>
                <c:pt idx="69">
                  <c:v>48427.0</c:v>
                </c:pt>
                <c:pt idx="70">
                  <c:v>48458.0</c:v>
                </c:pt>
                <c:pt idx="71">
                  <c:v>48488.0</c:v>
                </c:pt>
                <c:pt idx="72">
                  <c:v>48519.0</c:v>
                </c:pt>
                <c:pt idx="73">
                  <c:v>48549.0</c:v>
                </c:pt>
                <c:pt idx="74">
                  <c:v>48580.0</c:v>
                </c:pt>
                <c:pt idx="75">
                  <c:v>48611.0</c:v>
                </c:pt>
                <c:pt idx="76">
                  <c:v>48639.0</c:v>
                </c:pt>
                <c:pt idx="77">
                  <c:v>48670.0</c:v>
                </c:pt>
                <c:pt idx="78">
                  <c:v>48700.0</c:v>
                </c:pt>
                <c:pt idx="79">
                  <c:v>48731.0</c:v>
                </c:pt>
                <c:pt idx="80">
                  <c:v>48761.0</c:v>
                </c:pt>
                <c:pt idx="81">
                  <c:v>48792.0</c:v>
                </c:pt>
                <c:pt idx="82">
                  <c:v>48823.0</c:v>
                </c:pt>
                <c:pt idx="83">
                  <c:v>48853.0</c:v>
                </c:pt>
                <c:pt idx="84">
                  <c:v>48884.0</c:v>
                </c:pt>
                <c:pt idx="85">
                  <c:v>48914.0</c:v>
                </c:pt>
                <c:pt idx="86">
                  <c:v>48945.0</c:v>
                </c:pt>
                <c:pt idx="87">
                  <c:v>48976.0</c:v>
                </c:pt>
                <c:pt idx="88">
                  <c:v>49004.0</c:v>
                </c:pt>
                <c:pt idx="89">
                  <c:v>49035.0</c:v>
                </c:pt>
                <c:pt idx="90">
                  <c:v>49065.0</c:v>
                </c:pt>
                <c:pt idx="91">
                  <c:v>49096.0</c:v>
                </c:pt>
                <c:pt idx="92">
                  <c:v>49126.0</c:v>
                </c:pt>
                <c:pt idx="93">
                  <c:v>49157.0</c:v>
                </c:pt>
                <c:pt idx="94">
                  <c:v>49188.0</c:v>
                </c:pt>
                <c:pt idx="95">
                  <c:v>49218.0</c:v>
                </c:pt>
                <c:pt idx="96">
                  <c:v>49249.0</c:v>
                </c:pt>
                <c:pt idx="97">
                  <c:v>49279.0</c:v>
                </c:pt>
                <c:pt idx="98">
                  <c:v>49310.0</c:v>
                </c:pt>
                <c:pt idx="99">
                  <c:v>49341.0</c:v>
                </c:pt>
                <c:pt idx="100">
                  <c:v>49369.0</c:v>
                </c:pt>
                <c:pt idx="101">
                  <c:v>49400.0</c:v>
                </c:pt>
                <c:pt idx="102">
                  <c:v>49430.0</c:v>
                </c:pt>
                <c:pt idx="103">
                  <c:v>49461.0</c:v>
                </c:pt>
                <c:pt idx="104">
                  <c:v>49491.0</c:v>
                </c:pt>
                <c:pt idx="105">
                  <c:v>49522.0</c:v>
                </c:pt>
                <c:pt idx="106">
                  <c:v>49553.0</c:v>
                </c:pt>
                <c:pt idx="107">
                  <c:v>49583.0</c:v>
                </c:pt>
                <c:pt idx="108">
                  <c:v>49614.0</c:v>
                </c:pt>
                <c:pt idx="109">
                  <c:v>49644.0</c:v>
                </c:pt>
                <c:pt idx="110">
                  <c:v>49675.0</c:v>
                </c:pt>
                <c:pt idx="111">
                  <c:v>49706.0</c:v>
                </c:pt>
                <c:pt idx="112">
                  <c:v>49735.0</c:v>
                </c:pt>
                <c:pt idx="113">
                  <c:v>49766.0</c:v>
                </c:pt>
                <c:pt idx="114">
                  <c:v>49796.0</c:v>
                </c:pt>
                <c:pt idx="115">
                  <c:v>49827.0</c:v>
                </c:pt>
                <c:pt idx="116">
                  <c:v>49857.0</c:v>
                </c:pt>
                <c:pt idx="117">
                  <c:v>49888.0</c:v>
                </c:pt>
                <c:pt idx="118">
                  <c:v>49919.0</c:v>
                </c:pt>
                <c:pt idx="119">
                  <c:v>49949.0</c:v>
                </c:pt>
                <c:pt idx="120">
                  <c:v>49980.0</c:v>
                </c:pt>
                <c:pt idx="121">
                  <c:v>50010.0</c:v>
                </c:pt>
                <c:pt idx="122">
                  <c:v>50041.0</c:v>
                </c:pt>
                <c:pt idx="123">
                  <c:v>50072.0</c:v>
                </c:pt>
                <c:pt idx="124">
                  <c:v>50100.0</c:v>
                </c:pt>
                <c:pt idx="125">
                  <c:v>50131.0</c:v>
                </c:pt>
                <c:pt idx="126">
                  <c:v>50161.0</c:v>
                </c:pt>
                <c:pt idx="127">
                  <c:v>50192.0</c:v>
                </c:pt>
                <c:pt idx="128">
                  <c:v>50222.0</c:v>
                </c:pt>
                <c:pt idx="129">
                  <c:v>50253.0</c:v>
                </c:pt>
                <c:pt idx="130">
                  <c:v>50284.0</c:v>
                </c:pt>
                <c:pt idx="131">
                  <c:v>50314.0</c:v>
                </c:pt>
                <c:pt idx="132">
                  <c:v>50345.0</c:v>
                </c:pt>
                <c:pt idx="133">
                  <c:v>50375.0</c:v>
                </c:pt>
                <c:pt idx="134">
                  <c:v>50406.0</c:v>
                </c:pt>
                <c:pt idx="135">
                  <c:v>50437.0</c:v>
                </c:pt>
                <c:pt idx="136">
                  <c:v>50465.0</c:v>
                </c:pt>
                <c:pt idx="137">
                  <c:v>50496.0</c:v>
                </c:pt>
                <c:pt idx="138">
                  <c:v>50526.0</c:v>
                </c:pt>
                <c:pt idx="139">
                  <c:v>50557.0</c:v>
                </c:pt>
                <c:pt idx="140">
                  <c:v>50587.0</c:v>
                </c:pt>
                <c:pt idx="141">
                  <c:v>50618.0</c:v>
                </c:pt>
                <c:pt idx="142">
                  <c:v>50649.0</c:v>
                </c:pt>
                <c:pt idx="143">
                  <c:v>50679.0</c:v>
                </c:pt>
                <c:pt idx="144">
                  <c:v>50710.0</c:v>
                </c:pt>
                <c:pt idx="145">
                  <c:v>50740.0</c:v>
                </c:pt>
                <c:pt idx="146">
                  <c:v>50771.0</c:v>
                </c:pt>
                <c:pt idx="147">
                  <c:v>50802.0</c:v>
                </c:pt>
                <c:pt idx="148">
                  <c:v>50830.0</c:v>
                </c:pt>
                <c:pt idx="149">
                  <c:v>50861.0</c:v>
                </c:pt>
                <c:pt idx="150">
                  <c:v>50891.0</c:v>
                </c:pt>
                <c:pt idx="151">
                  <c:v>50922.0</c:v>
                </c:pt>
                <c:pt idx="152">
                  <c:v>50952.0</c:v>
                </c:pt>
                <c:pt idx="153">
                  <c:v>50983.0</c:v>
                </c:pt>
                <c:pt idx="154">
                  <c:v>51014.0</c:v>
                </c:pt>
                <c:pt idx="155">
                  <c:v>51044.0</c:v>
                </c:pt>
                <c:pt idx="156">
                  <c:v>51075.0</c:v>
                </c:pt>
                <c:pt idx="157">
                  <c:v>51105.0</c:v>
                </c:pt>
                <c:pt idx="158">
                  <c:v>51136.0</c:v>
                </c:pt>
                <c:pt idx="159">
                  <c:v>51167.0</c:v>
                </c:pt>
                <c:pt idx="160">
                  <c:v>51196.0</c:v>
                </c:pt>
                <c:pt idx="161">
                  <c:v>51227.0</c:v>
                </c:pt>
                <c:pt idx="162">
                  <c:v>51257.0</c:v>
                </c:pt>
                <c:pt idx="163">
                  <c:v>51288.0</c:v>
                </c:pt>
                <c:pt idx="164">
                  <c:v>51318.0</c:v>
                </c:pt>
                <c:pt idx="165">
                  <c:v>51349.0</c:v>
                </c:pt>
                <c:pt idx="166">
                  <c:v>51380.0</c:v>
                </c:pt>
                <c:pt idx="167">
                  <c:v>51410.0</c:v>
                </c:pt>
                <c:pt idx="168">
                  <c:v>51441.0</c:v>
                </c:pt>
                <c:pt idx="169">
                  <c:v>51471.0</c:v>
                </c:pt>
                <c:pt idx="170">
                  <c:v>51502.0</c:v>
                </c:pt>
                <c:pt idx="171">
                  <c:v>51533.0</c:v>
                </c:pt>
                <c:pt idx="172">
                  <c:v>51561.0</c:v>
                </c:pt>
                <c:pt idx="173">
                  <c:v>51592.0</c:v>
                </c:pt>
                <c:pt idx="174">
                  <c:v>51622.0</c:v>
                </c:pt>
                <c:pt idx="175">
                  <c:v>51653.0</c:v>
                </c:pt>
                <c:pt idx="176">
                  <c:v>51683.0</c:v>
                </c:pt>
                <c:pt idx="177">
                  <c:v>51714.0</c:v>
                </c:pt>
                <c:pt idx="178">
                  <c:v>51745.0</c:v>
                </c:pt>
                <c:pt idx="179">
                  <c:v>51775.0</c:v>
                </c:pt>
                <c:pt idx="180">
                  <c:v>51806.0</c:v>
                </c:pt>
                <c:pt idx="181">
                  <c:v>51836.0</c:v>
                </c:pt>
                <c:pt idx="182">
                  <c:v>51867.0</c:v>
                </c:pt>
                <c:pt idx="183">
                  <c:v>51898.0</c:v>
                </c:pt>
                <c:pt idx="184">
                  <c:v>51926.0</c:v>
                </c:pt>
                <c:pt idx="185">
                  <c:v>51957.0</c:v>
                </c:pt>
                <c:pt idx="186">
                  <c:v>51987.0</c:v>
                </c:pt>
                <c:pt idx="187">
                  <c:v>52018.0</c:v>
                </c:pt>
                <c:pt idx="188">
                  <c:v>52048.0</c:v>
                </c:pt>
                <c:pt idx="189">
                  <c:v>52079.0</c:v>
                </c:pt>
                <c:pt idx="190">
                  <c:v>52110.0</c:v>
                </c:pt>
                <c:pt idx="191">
                  <c:v>52140.0</c:v>
                </c:pt>
                <c:pt idx="192">
                  <c:v>52171.0</c:v>
                </c:pt>
                <c:pt idx="193">
                  <c:v>52201.0</c:v>
                </c:pt>
                <c:pt idx="194">
                  <c:v>52232.0</c:v>
                </c:pt>
                <c:pt idx="195">
                  <c:v>52263.0</c:v>
                </c:pt>
                <c:pt idx="196">
                  <c:v>52291.0</c:v>
                </c:pt>
                <c:pt idx="197">
                  <c:v>52322.0</c:v>
                </c:pt>
                <c:pt idx="198">
                  <c:v>52352.0</c:v>
                </c:pt>
                <c:pt idx="199">
                  <c:v>52383.0</c:v>
                </c:pt>
                <c:pt idx="200">
                  <c:v>52413.0</c:v>
                </c:pt>
                <c:pt idx="201">
                  <c:v>52444.0</c:v>
                </c:pt>
                <c:pt idx="202">
                  <c:v>52475.0</c:v>
                </c:pt>
                <c:pt idx="203">
                  <c:v>52505.0</c:v>
                </c:pt>
                <c:pt idx="204">
                  <c:v>52536.0</c:v>
                </c:pt>
                <c:pt idx="205">
                  <c:v>52566.0</c:v>
                </c:pt>
                <c:pt idx="206">
                  <c:v>52597.0</c:v>
                </c:pt>
                <c:pt idx="207">
                  <c:v>52628.0</c:v>
                </c:pt>
                <c:pt idx="208">
                  <c:v>52657.0</c:v>
                </c:pt>
                <c:pt idx="209">
                  <c:v>52688.0</c:v>
                </c:pt>
                <c:pt idx="210">
                  <c:v>52718.0</c:v>
                </c:pt>
                <c:pt idx="211">
                  <c:v>52749.0</c:v>
                </c:pt>
                <c:pt idx="212">
                  <c:v>52779.0</c:v>
                </c:pt>
                <c:pt idx="213">
                  <c:v>52810.0</c:v>
                </c:pt>
                <c:pt idx="214">
                  <c:v>52841.0</c:v>
                </c:pt>
                <c:pt idx="215">
                  <c:v>52871.0</c:v>
                </c:pt>
                <c:pt idx="216">
                  <c:v>52902.0</c:v>
                </c:pt>
                <c:pt idx="217">
                  <c:v>52932.0</c:v>
                </c:pt>
                <c:pt idx="218">
                  <c:v>52963.0</c:v>
                </c:pt>
                <c:pt idx="219">
                  <c:v>52994.0</c:v>
                </c:pt>
                <c:pt idx="220">
                  <c:v>53022.0</c:v>
                </c:pt>
                <c:pt idx="221">
                  <c:v>53053.0</c:v>
                </c:pt>
                <c:pt idx="222">
                  <c:v>53083.0</c:v>
                </c:pt>
                <c:pt idx="223">
                  <c:v>53114.0</c:v>
                </c:pt>
                <c:pt idx="224">
                  <c:v>53144.0</c:v>
                </c:pt>
                <c:pt idx="225">
                  <c:v>53175.0</c:v>
                </c:pt>
                <c:pt idx="226">
                  <c:v>53206.0</c:v>
                </c:pt>
                <c:pt idx="227">
                  <c:v>53236.0</c:v>
                </c:pt>
                <c:pt idx="228">
                  <c:v>53267.0</c:v>
                </c:pt>
                <c:pt idx="229">
                  <c:v>53297.0</c:v>
                </c:pt>
                <c:pt idx="230">
                  <c:v>53328.0</c:v>
                </c:pt>
                <c:pt idx="231">
                  <c:v>53359.0</c:v>
                </c:pt>
                <c:pt idx="232">
                  <c:v>53387.0</c:v>
                </c:pt>
                <c:pt idx="233">
                  <c:v>53418.0</c:v>
                </c:pt>
                <c:pt idx="234">
                  <c:v>53448.0</c:v>
                </c:pt>
                <c:pt idx="235">
                  <c:v>53479.0</c:v>
                </c:pt>
                <c:pt idx="236">
                  <c:v>53509.0</c:v>
                </c:pt>
                <c:pt idx="237">
                  <c:v>53540.0</c:v>
                </c:pt>
                <c:pt idx="238">
                  <c:v>53571.0</c:v>
                </c:pt>
                <c:pt idx="239">
                  <c:v>53601.0</c:v>
                </c:pt>
                <c:pt idx="240">
                  <c:v>53632.0</c:v>
                </c:pt>
                <c:pt idx="241">
                  <c:v>53662.0</c:v>
                </c:pt>
                <c:pt idx="242">
                  <c:v>53693.0</c:v>
                </c:pt>
                <c:pt idx="243">
                  <c:v>53724.0</c:v>
                </c:pt>
                <c:pt idx="244">
                  <c:v>53752.0</c:v>
                </c:pt>
                <c:pt idx="245">
                  <c:v>53783.0</c:v>
                </c:pt>
                <c:pt idx="246">
                  <c:v>53813.0</c:v>
                </c:pt>
                <c:pt idx="247">
                  <c:v>53844.0</c:v>
                </c:pt>
                <c:pt idx="248">
                  <c:v>53874.0</c:v>
                </c:pt>
                <c:pt idx="249">
                  <c:v>53905.0</c:v>
                </c:pt>
                <c:pt idx="250">
                  <c:v>53936.0</c:v>
                </c:pt>
                <c:pt idx="251">
                  <c:v>53966.0</c:v>
                </c:pt>
                <c:pt idx="252">
                  <c:v>53997.0</c:v>
                </c:pt>
                <c:pt idx="253">
                  <c:v>54027.0</c:v>
                </c:pt>
                <c:pt idx="254">
                  <c:v>54058.0</c:v>
                </c:pt>
                <c:pt idx="255">
                  <c:v>54089.0</c:v>
                </c:pt>
                <c:pt idx="256">
                  <c:v>54118.0</c:v>
                </c:pt>
                <c:pt idx="257">
                  <c:v>54149.0</c:v>
                </c:pt>
                <c:pt idx="258">
                  <c:v>54179.0</c:v>
                </c:pt>
                <c:pt idx="259">
                  <c:v>54210.0</c:v>
                </c:pt>
                <c:pt idx="260">
                  <c:v>54240.0</c:v>
                </c:pt>
                <c:pt idx="261">
                  <c:v>54271.0</c:v>
                </c:pt>
                <c:pt idx="262">
                  <c:v>54302.0</c:v>
                </c:pt>
                <c:pt idx="263">
                  <c:v>54332.0</c:v>
                </c:pt>
                <c:pt idx="264">
                  <c:v>54363.0</c:v>
                </c:pt>
                <c:pt idx="265">
                  <c:v>54393.0</c:v>
                </c:pt>
                <c:pt idx="266">
                  <c:v>54424.0</c:v>
                </c:pt>
                <c:pt idx="267">
                  <c:v>54455.0</c:v>
                </c:pt>
                <c:pt idx="268">
                  <c:v>54483.0</c:v>
                </c:pt>
                <c:pt idx="269">
                  <c:v>54514.0</c:v>
                </c:pt>
                <c:pt idx="270">
                  <c:v>54544.0</c:v>
                </c:pt>
                <c:pt idx="271">
                  <c:v>54575.0</c:v>
                </c:pt>
                <c:pt idx="272">
                  <c:v>54605.0</c:v>
                </c:pt>
                <c:pt idx="273">
                  <c:v>54636.0</c:v>
                </c:pt>
                <c:pt idx="274">
                  <c:v>54667.0</c:v>
                </c:pt>
                <c:pt idx="275">
                  <c:v>54697.0</c:v>
                </c:pt>
                <c:pt idx="276">
                  <c:v>54728.0</c:v>
                </c:pt>
                <c:pt idx="277">
                  <c:v>54758.0</c:v>
                </c:pt>
                <c:pt idx="278">
                  <c:v>54789.0</c:v>
                </c:pt>
                <c:pt idx="279">
                  <c:v>54820.0</c:v>
                </c:pt>
                <c:pt idx="280">
                  <c:v>54848.0</c:v>
                </c:pt>
                <c:pt idx="281">
                  <c:v>54879.0</c:v>
                </c:pt>
                <c:pt idx="282">
                  <c:v>54909.0</c:v>
                </c:pt>
                <c:pt idx="283">
                  <c:v>54940.0</c:v>
                </c:pt>
                <c:pt idx="284">
                  <c:v>54970.0</c:v>
                </c:pt>
                <c:pt idx="285">
                  <c:v>55001.0</c:v>
                </c:pt>
                <c:pt idx="286">
                  <c:v>55032.0</c:v>
                </c:pt>
                <c:pt idx="287">
                  <c:v>55062.0</c:v>
                </c:pt>
                <c:pt idx="288">
                  <c:v>55093.0</c:v>
                </c:pt>
                <c:pt idx="289">
                  <c:v>55123.0</c:v>
                </c:pt>
                <c:pt idx="290">
                  <c:v>55154.0</c:v>
                </c:pt>
                <c:pt idx="291">
                  <c:v>55185.0</c:v>
                </c:pt>
                <c:pt idx="292">
                  <c:v>55213.0</c:v>
                </c:pt>
                <c:pt idx="293">
                  <c:v>55244.0</c:v>
                </c:pt>
                <c:pt idx="294">
                  <c:v>55274.0</c:v>
                </c:pt>
                <c:pt idx="295">
                  <c:v>55305.0</c:v>
                </c:pt>
                <c:pt idx="296">
                  <c:v>55335.0</c:v>
                </c:pt>
                <c:pt idx="297">
                  <c:v>55366.0</c:v>
                </c:pt>
                <c:pt idx="298">
                  <c:v>55397.0</c:v>
                </c:pt>
                <c:pt idx="299">
                  <c:v>55427.0</c:v>
                </c:pt>
                <c:pt idx="300">
                  <c:v>55458.0</c:v>
                </c:pt>
                <c:pt idx="301">
                  <c:v>55488.0</c:v>
                </c:pt>
                <c:pt idx="302">
                  <c:v>55519.0</c:v>
                </c:pt>
                <c:pt idx="303">
                  <c:v>55550.0</c:v>
                </c:pt>
                <c:pt idx="304">
                  <c:v>55579.0</c:v>
                </c:pt>
                <c:pt idx="305">
                  <c:v>55610.0</c:v>
                </c:pt>
                <c:pt idx="306">
                  <c:v>55640.0</c:v>
                </c:pt>
                <c:pt idx="307">
                  <c:v>55671.0</c:v>
                </c:pt>
                <c:pt idx="308">
                  <c:v>55701.0</c:v>
                </c:pt>
                <c:pt idx="309">
                  <c:v>55732.0</c:v>
                </c:pt>
                <c:pt idx="310">
                  <c:v>55763.0</c:v>
                </c:pt>
                <c:pt idx="311">
                  <c:v>55793.0</c:v>
                </c:pt>
                <c:pt idx="312">
                  <c:v>55824.0</c:v>
                </c:pt>
                <c:pt idx="313">
                  <c:v>55854.0</c:v>
                </c:pt>
                <c:pt idx="314">
                  <c:v>55885.0</c:v>
                </c:pt>
                <c:pt idx="315">
                  <c:v>55916.0</c:v>
                </c:pt>
                <c:pt idx="316">
                  <c:v>55944.0</c:v>
                </c:pt>
                <c:pt idx="317">
                  <c:v>55975.0</c:v>
                </c:pt>
                <c:pt idx="318">
                  <c:v>56005.0</c:v>
                </c:pt>
                <c:pt idx="319">
                  <c:v>56036.0</c:v>
                </c:pt>
                <c:pt idx="320">
                  <c:v>56066.0</c:v>
                </c:pt>
                <c:pt idx="321">
                  <c:v>56097.0</c:v>
                </c:pt>
                <c:pt idx="322">
                  <c:v>56128.0</c:v>
                </c:pt>
                <c:pt idx="323">
                  <c:v>56158.0</c:v>
                </c:pt>
                <c:pt idx="324">
                  <c:v>56189.0</c:v>
                </c:pt>
                <c:pt idx="325">
                  <c:v>56219.0</c:v>
                </c:pt>
                <c:pt idx="326">
                  <c:v>56250.0</c:v>
                </c:pt>
                <c:pt idx="327">
                  <c:v>56281.0</c:v>
                </c:pt>
                <c:pt idx="328">
                  <c:v>56309.0</c:v>
                </c:pt>
                <c:pt idx="329">
                  <c:v>56340.0</c:v>
                </c:pt>
                <c:pt idx="330">
                  <c:v>56370.0</c:v>
                </c:pt>
                <c:pt idx="331">
                  <c:v>56401.0</c:v>
                </c:pt>
                <c:pt idx="332">
                  <c:v>56431.0</c:v>
                </c:pt>
                <c:pt idx="333">
                  <c:v>56462.0</c:v>
                </c:pt>
                <c:pt idx="334">
                  <c:v>56493.0</c:v>
                </c:pt>
                <c:pt idx="335">
                  <c:v>56523.0</c:v>
                </c:pt>
                <c:pt idx="336">
                  <c:v>56554.0</c:v>
                </c:pt>
                <c:pt idx="337">
                  <c:v>56584.0</c:v>
                </c:pt>
                <c:pt idx="338">
                  <c:v>56615.0</c:v>
                </c:pt>
                <c:pt idx="339">
                  <c:v>56646.0</c:v>
                </c:pt>
                <c:pt idx="340">
                  <c:v>56674.0</c:v>
                </c:pt>
                <c:pt idx="341">
                  <c:v>56705.0</c:v>
                </c:pt>
                <c:pt idx="342">
                  <c:v>56735.0</c:v>
                </c:pt>
                <c:pt idx="343">
                  <c:v>56766.0</c:v>
                </c:pt>
                <c:pt idx="344">
                  <c:v>56796.0</c:v>
                </c:pt>
                <c:pt idx="345">
                  <c:v>56827.0</c:v>
                </c:pt>
                <c:pt idx="346">
                  <c:v>56858.0</c:v>
                </c:pt>
                <c:pt idx="347">
                  <c:v>56888.0</c:v>
                </c:pt>
                <c:pt idx="348">
                  <c:v>56919.0</c:v>
                </c:pt>
                <c:pt idx="349">
                  <c:v>56949.0</c:v>
                </c:pt>
                <c:pt idx="350">
                  <c:v>56980.0</c:v>
                </c:pt>
                <c:pt idx="351">
                  <c:v>57011.0</c:v>
                </c:pt>
                <c:pt idx="352">
                  <c:v>57040.0</c:v>
                </c:pt>
                <c:pt idx="353">
                  <c:v>57071.0</c:v>
                </c:pt>
                <c:pt idx="354">
                  <c:v>57101.0</c:v>
                </c:pt>
                <c:pt idx="355">
                  <c:v>57132.0</c:v>
                </c:pt>
                <c:pt idx="356">
                  <c:v>57162.0</c:v>
                </c:pt>
                <c:pt idx="357">
                  <c:v>57193.0</c:v>
                </c:pt>
                <c:pt idx="358">
                  <c:v>57224.0</c:v>
                </c:pt>
                <c:pt idx="359">
                  <c:v>57254.0</c:v>
                </c:pt>
                <c:pt idx="360">
                  <c:v>57285.0</c:v>
                </c:pt>
                <c:pt idx="361">
                  <c:v>57315.0</c:v>
                </c:pt>
                <c:pt idx="362">
                  <c:v>57346.0</c:v>
                </c:pt>
                <c:pt idx="363">
                  <c:v>57377.0</c:v>
                </c:pt>
                <c:pt idx="364">
                  <c:v>57405.0</c:v>
                </c:pt>
                <c:pt idx="365">
                  <c:v>57436.0</c:v>
                </c:pt>
                <c:pt idx="366">
                  <c:v>57466.0</c:v>
                </c:pt>
                <c:pt idx="367">
                  <c:v>57497.0</c:v>
                </c:pt>
                <c:pt idx="368">
                  <c:v>57527.0</c:v>
                </c:pt>
                <c:pt idx="369">
                  <c:v>57558.0</c:v>
                </c:pt>
                <c:pt idx="370">
                  <c:v>57589.0</c:v>
                </c:pt>
                <c:pt idx="371">
                  <c:v>57619.0</c:v>
                </c:pt>
                <c:pt idx="372">
                  <c:v>57650.0</c:v>
                </c:pt>
                <c:pt idx="373">
                  <c:v>57680.0</c:v>
                </c:pt>
                <c:pt idx="374">
                  <c:v>57711.0</c:v>
                </c:pt>
                <c:pt idx="375">
                  <c:v>57742.0</c:v>
                </c:pt>
                <c:pt idx="376">
                  <c:v>57770.0</c:v>
                </c:pt>
                <c:pt idx="377">
                  <c:v>57801.0</c:v>
                </c:pt>
                <c:pt idx="378">
                  <c:v>57831.0</c:v>
                </c:pt>
                <c:pt idx="379">
                  <c:v>57862.0</c:v>
                </c:pt>
                <c:pt idx="380">
                  <c:v>57892.0</c:v>
                </c:pt>
                <c:pt idx="381">
                  <c:v>57923.0</c:v>
                </c:pt>
                <c:pt idx="382">
                  <c:v>57954.0</c:v>
                </c:pt>
                <c:pt idx="383">
                  <c:v>57984.0</c:v>
                </c:pt>
                <c:pt idx="384">
                  <c:v>58015.0</c:v>
                </c:pt>
                <c:pt idx="385">
                  <c:v>58045.0</c:v>
                </c:pt>
                <c:pt idx="386">
                  <c:v>58076.0</c:v>
                </c:pt>
                <c:pt idx="387">
                  <c:v>58107.0</c:v>
                </c:pt>
                <c:pt idx="388">
                  <c:v>58135.0</c:v>
                </c:pt>
                <c:pt idx="389">
                  <c:v>58166.0</c:v>
                </c:pt>
                <c:pt idx="390">
                  <c:v>58196.0</c:v>
                </c:pt>
                <c:pt idx="391">
                  <c:v>58227.0</c:v>
                </c:pt>
                <c:pt idx="392">
                  <c:v>58257.0</c:v>
                </c:pt>
                <c:pt idx="393">
                  <c:v>58288.0</c:v>
                </c:pt>
                <c:pt idx="394">
                  <c:v>58319.0</c:v>
                </c:pt>
                <c:pt idx="395">
                  <c:v>58349.0</c:v>
                </c:pt>
                <c:pt idx="396">
                  <c:v>58380.0</c:v>
                </c:pt>
                <c:pt idx="397">
                  <c:v>58410.0</c:v>
                </c:pt>
                <c:pt idx="398">
                  <c:v>58441.0</c:v>
                </c:pt>
                <c:pt idx="399">
                  <c:v>58472.0</c:v>
                </c:pt>
                <c:pt idx="400">
                  <c:v>58501.0</c:v>
                </c:pt>
                <c:pt idx="401">
                  <c:v>58532.0</c:v>
                </c:pt>
                <c:pt idx="402">
                  <c:v>58562.0</c:v>
                </c:pt>
                <c:pt idx="403">
                  <c:v>58593.0</c:v>
                </c:pt>
                <c:pt idx="404">
                  <c:v>58623.0</c:v>
                </c:pt>
                <c:pt idx="405">
                  <c:v>58654.0</c:v>
                </c:pt>
                <c:pt idx="406">
                  <c:v>58685.0</c:v>
                </c:pt>
                <c:pt idx="407">
                  <c:v>58715.0</c:v>
                </c:pt>
                <c:pt idx="408">
                  <c:v>58746.0</c:v>
                </c:pt>
                <c:pt idx="409">
                  <c:v>58776.0</c:v>
                </c:pt>
                <c:pt idx="410">
                  <c:v>58807.0</c:v>
                </c:pt>
                <c:pt idx="411">
                  <c:v>58838.0</c:v>
                </c:pt>
                <c:pt idx="412">
                  <c:v>58866.0</c:v>
                </c:pt>
                <c:pt idx="413">
                  <c:v>58897.0</c:v>
                </c:pt>
                <c:pt idx="414">
                  <c:v>58927.0</c:v>
                </c:pt>
                <c:pt idx="415">
                  <c:v>58958.0</c:v>
                </c:pt>
                <c:pt idx="416">
                  <c:v>58988.0</c:v>
                </c:pt>
                <c:pt idx="417">
                  <c:v>59019.0</c:v>
                </c:pt>
                <c:pt idx="418">
                  <c:v>59050.0</c:v>
                </c:pt>
                <c:pt idx="419">
                  <c:v>59080.0</c:v>
                </c:pt>
                <c:pt idx="420">
                  <c:v>59111.0</c:v>
                </c:pt>
                <c:pt idx="421">
                  <c:v>59141.0</c:v>
                </c:pt>
                <c:pt idx="422">
                  <c:v>59172.0</c:v>
                </c:pt>
                <c:pt idx="423">
                  <c:v>59203.0</c:v>
                </c:pt>
                <c:pt idx="424">
                  <c:v>59231.0</c:v>
                </c:pt>
                <c:pt idx="425">
                  <c:v>59262.0</c:v>
                </c:pt>
                <c:pt idx="426">
                  <c:v>59292.0</c:v>
                </c:pt>
                <c:pt idx="427">
                  <c:v>59323.0</c:v>
                </c:pt>
                <c:pt idx="428">
                  <c:v>59353.0</c:v>
                </c:pt>
                <c:pt idx="429">
                  <c:v>59384.0</c:v>
                </c:pt>
                <c:pt idx="430">
                  <c:v>59415.0</c:v>
                </c:pt>
                <c:pt idx="431">
                  <c:v>59445.0</c:v>
                </c:pt>
                <c:pt idx="432">
                  <c:v>59476.0</c:v>
                </c:pt>
                <c:pt idx="433">
                  <c:v>59506.0</c:v>
                </c:pt>
                <c:pt idx="434">
                  <c:v>59537.0</c:v>
                </c:pt>
                <c:pt idx="435">
                  <c:v>59568.0</c:v>
                </c:pt>
                <c:pt idx="436">
                  <c:v>59596.0</c:v>
                </c:pt>
                <c:pt idx="437">
                  <c:v>59627.0</c:v>
                </c:pt>
                <c:pt idx="438">
                  <c:v>59657.0</c:v>
                </c:pt>
                <c:pt idx="439">
                  <c:v>59688.0</c:v>
                </c:pt>
                <c:pt idx="440">
                  <c:v>59718.0</c:v>
                </c:pt>
                <c:pt idx="441">
                  <c:v>59749.0</c:v>
                </c:pt>
                <c:pt idx="442">
                  <c:v>59780.0</c:v>
                </c:pt>
                <c:pt idx="443">
                  <c:v>59810.0</c:v>
                </c:pt>
                <c:pt idx="444">
                  <c:v>59841.0</c:v>
                </c:pt>
                <c:pt idx="445">
                  <c:v>59871.0</c:v>
                </c:pt>
                <c:pt idx="446">
                  <c:v>59902.0</c:v>
                </c:pt>
                <c:pt idx="447">
                  <c:v>59933.0</c:v>
                </c:pt>
                <c:pt idx="448">
                  <c:v>59962.0</c:v>
                </c:pt>
                <c:pt idx="449">
                  <c:v>59993.0</c:v>
                </c:pt>
                <c:pt idx="450">
                  <c:v>60023.0</c:v>
                </c:pt>
                <c:pt idx="451">
                  <c:v>60054.0</c:v>
                </c:pt>
                <c:pt idx="452">
                  <c:v>60084.0</c:v>
                </c:pt>
                <c:pt idx="453">
                  <c:v>60115.0</c:v>
                </c:pt>
                <c:pt idx="454">
                  <c:v>60146.0</c:v>
                </c:pt>
                <c:pt idx="455">
                  <c:v>60176.0</c:v>
                </c:pt>
                <c:pt idx="456">
                  <c:v>60207.0</c:v>
                </c:pt>
                <c:pt idx="457">
                  <c:v>60237.0</c:v>
                </c:pt>
                <c:pt idx="458">
                  <c:v>60268.0</c:v>
                </c:pt>
                <c:pt idx="459">
                  <c:v>60299.0</c:v>
                </c:pt>
                <c:pt idx="460">
                  <c:v>60327.0</c:v>
                </c:pt>
                <c:pt idx="461">
                  <c:v>60358.0</c:v>
                </c:pt>
                <c:pt idx="462">
                  <c:v>60388.0</c:v>
                </c:pt>
                <c:pt idx="463">
                  <c:v>60419.0</c:v>
                </c:pt>
                <c:pt idx="464">
                  <c:v>60449.0</c:v>
                </c:pt>
                <c:pt idx="465">
                  <c:v>60480.0</c:v>
                </c:pt>
                <c:pt idx="466">
                  <c:v>60511.0</c:v>
                </c:pt>
                <c:pt idx="467">
                  <c:v>60541.0</c:v>
                </c:pt>
                <c:pt idx="468">
                  <c:v>60572.0</c:v>
                </c:pt>
                <c:pt idx="469">
                  <c:v>60602.0</c:v>
                </c:pt>
                <c:pt idx="470">
                  <c:v>60633.0</c:v>
                </c:pt>
                <c:pt idx="471">
                  <c:v>60664.0</c:v>
                </c:pt>
                <c:pt idx="472">
                  <c:v>60692.0</c:v>
                </c:pt>
                <c:pt idx="473">
                  <c:v>60723.0</c:v>
                </c:pt>
                <c:pt idx="474">
                  <c:v>60753.0</c:v>
                </c:pt>
                <c:pt idx="475">
                  <c:v>60784.0</c:v>
                </c:pt>
                <c:pt idx="476">
                  <c:v>60814.0</c:v>
                </c:pt>
                <c:pt idx="477">
                  <c:v>60845.0</c:v>
                </c:pt>
                <c:pt idx="478">
                  <c:v>60876.0</c:v>
                </c:pt>
                <c:pt idx="479">
                  <c:v>60906.0</c:v>
                </c:pt>
              </c:numCache>
            </c:numRef>
          </c:cat>
          <c:val>
            <c:numRef>
              <c:f>Cuadro!$J$6:$J$485</c:f>
              <c:numCache>
                <c:formatCode>General</c:formatCode>
                <c:ptCount val="480"/>
                <c:pt idx="0">
                  <c:v>179691.112739287</c:v>
                </c:pt>
                <c:pt idx="1">
                  <c:v>179381.4532604222</c:v>
                </c:pt>
                <c:pt idx="2">
                  <c:v>179071.01963286023</c:v>
                </c:pt>
                <c:pt idx="3">
                  <c:v>178759.80992122937</c:v>
                </c:pt>
                <c:pt idx="4">
                  <c:v>178447.82218531944</c:v>
                </c:pt>
                <c:pt idx="5">
                  <c:v>178135.05448006972</c:v>
                </c:pt>
                <c:pt idx="6">
                  <c:v>177821.50485555688</c:v>
                </c:pt>
                <c:pt idx="7">
                  <c:v>172507.17135698276</c:v>
                </c:pt>
                <c:pt idx="8">
                  <c:v>172179.5520246622</c:v>
                </c:pt>
                <c:pt idx="9">
                  <c:v>171851.11364401085</c:v>
                </c:pt>
                <c:pt idx="10">
                  <c:v>171521.85416740787</c:v>
                </c:pt>
                <c:pt idx="11">
                  <c:v>171191.7715421134</c:v>
                </c:pt>
                <c:pt idx="12">
                  <c:v>170840.4964964492</c:v>
                </c:pt>
                <c:pt idx="13">
                  <c:v>170488.46035485272</c:v>
                </c:pt>
                <c:pt idx="14">
                  <c:v>170135.66146828278</c:v>
                </c:pt>
                <c:pt idx="15">
                  <c:v>169782.09818412527</c:v>
                </c:pt>
                <c:pt idx="16">
                  <c:v>169427.7688461854</c:v>
                </c:pt>
                <c:pt idx="17">
                  <c:v>169072.67179468003</c:v>
                </c:pt>
                <c:pt idx="18">
                  <c:v>168716.80536622973</c:v>
                </c:pt>
                <c:pt idx="19">
                  <c:v>168360.16789385112</c:v>
                </c:pt>
                <c:pt idx="20">
                  <c:v>168002.75770694902</c:v>
                </c:pt>
                <c:pt idx="21">
                  <c:v>167644.57313130863</c:v>
                </c:pt>
                <c:pt idx="22">
                  <c:v>167285.61248908768</c:v>
                </c:pt>
                <c:pt idx="23">
                  <c:v>166925.8740988086</c:v>
                </c:pt>
                <c:pt idx="24">
                  <c:v>166582.6779577928</c:v>
                </c:pt>
                <c:pt idx="25">
                  <c:v>166238.6524261029</c:v>
                </c:pt>
                <c:pt idx="26">
                  <c:v>155893.79549937806</c:v>
                </c:pt>
                <c:pt idx="27">
                  <c:v>155523.93850174698</c:v>
                </c:pt>
                <c:pt idx="28">
                  <c:v>155153.1876830383</c:v>
                </c:pt>
                <c:pt idx="29">
                  <c:v>154781.5408831844</c:v>
                </c:pt>
                <c:pt idx="30">
                  <c:v>154408.99593689753</c:v>
                </c:pt>
                <c:pt idx="31">
                  <c:v>154035.55067365713</c:v>
                </c:pt>
                <c:pt idx="32">
                  <c:v>153661.20291769723</c:v>
                </c:pt>
                <c:pt idx="33">
                  <c:v>153285.95048799374</c:v>
                </c:pt>
                <c:pt idx="34">
                  <c:v>152909.79119825183</c:v>
                </c:pt>
                <c:pt idx="35">
                  <c:v>152532.72285689303</c:v>
                </c:pt>
                <c:pt idx="36">
                  <c:v>152154.74326704262</c:v>
                </c:pt>
                <c:pt idx="37">
                  <c:v>151775.85022651672</c:v>
                </c:pt>
                <c:pt idx="38">
                  <c:v>151396.04152780955</c:v>
                </c:pt>
                <c:pt idx="39">
                  <c:v>151015.3149580805</c:v>
                </c:pt>
                <c:pt idx="40">
                  <c:v>150633.66829914128</c:v>
                </c:pt>
                <c:pt idx="41">
                  <c:v>150251.09932744296</c:v>
                </c:pt>
                <c:pt idx="42">
                  <c:v>149867.60581406305</c:v>
                </c:pt>
                <c:pt idx="43">
                  <c:v>149483.18552469247</c:v>
                </c:pt>
                <c:pt idx="44">
                  <c:v>149097.83621962258</c:v>
                </c:pt>
                <c:pt idx="45">
                  <c:v>148711.5556537321</c:v>
                </c:pt>
                <c:pt idx="46">
                  <c:v>148324.34157647405</c:v>
                </c:pt>
                <c:pt idx="47">
                  <c:v>147936.1917318626</c:v>
                </c:pt>
                <c:pt idx="48">
                  <c:v>147547.10385846003</c:v>
                </c:pt>
                <c:pt idx="49">
                  <c:v>147157.0756893634</c:v>
                </c:pt>
                <c:pt idx="50">
                  <c:v>146766.10495219147</c:v>
                </c:pt>
                <c:pt idx="51">
                  <c:v>146374.18936907136</c:v>
                </c:pt>
                <c:pt idx="52">
                  <c:v>145981.32665662537</c:v>
                </c:pt>
                <c:pt idx="53">
                  <c:v>145587.51452595764</c:v>
                </c:pt>
                <c:pt idx="54">
                  <c:v>145192.7506826408</c:v>
                </c:pt>
                <c:pt idx="55">
                  <c:v>144797.0328267026</c:v>
                </c:pt>
                <c:pt idx="56">
                  <c:v>144400.35865261257</c:v>
                </c:pt>
                <c:pt idx="57">
                  <c:v>144002.72584926846</c:v>
                </c:pt>
                <c:pt idx="58">
                  <c:v>143604.13209998296</c:v>
                </c:pt>
                <c:pt idx="59">
                  <c:v>143204.57508247002</c:v>
                </c:pt>
                <c:pt idx="60">
                  <c:v>142804.05246883142</c:v>
                </c:pt>
                <c:pt idx="61">
                  <c:v>142402.56192554318</c:v>
                </c:pt>
                <c:pt idx="62">
                  <c:v>142000.101113442</c:v>
                </c:pt>
                <c:pt idx="63">
                  <c:v>141596.6676877116</c:v>
                </c:pt>
                <c:pt idx="64">
                  <c:v>141192.259297869</c:v>
                </c:pt>
                <c:pt idx="65">
                  <c:v>140786.87358775095</c:v>
                </c:pt>
                <c:pt idx="66">
                  <c:v>140380.5081955001</c:v>
                </c:pt>
                <c:pt idx="67">
                  <c:v>139973.16075355132</c:v>
                </c:pt>
                <c:pt idx="68">
                  <c:v>139564.82888861783</c:v>
                </c:pt>
                <c:pt idx="69">
                  <c:v>139155.51022167742</c:v>
                </c:pt>
                <c:pt idx="70">
                  <c:v>138745.20236795855</c:v>
                </c:pt>
                <c:pt idx="71">
                  <c:v>138333.90293692655</c:v>
                </c:pt>
                <c:pt idx="72">
                  <c:v>137921.60953226953</c:v>
                </c:pt>
                <c:pt idx="73">
                  <c:v>137508.3197518846</c:v>
                </c:pt>
                <c:pt idx="74">
                  <c:v>137094.03118786376</c:v>
                </c:pt>
                <c:pt idx="75">
                  <c:v>136678.74142647986</c:v>
                </c:pt>
                <c:pt idx="76">
                  <c:v>136262.4480481726</c:v>
                </c:pt>
                <c:pt idx="77">
                  <c:v>135845.14862753445</c:v>
                </c:pt>
                <c:pt idx="78">
                  <c:v>135426.8407332964</c:v>
                </c:pt>
                <c:pt idx="79">
                  <c:v>135007.52192831397</c:v>
                </c:pt>
                <c:pt idx="80">
                  <c:v>134587.18976955282</c:v>
                </c:pt>
                <c:pt idx="81">
                  <c:v>134165.84180807465</c:v>
                </c:pt>
                <c:pt idx="82">
                  <c:v>133743.4755890229</c:v>
                </c:pt>
                <c:pt idx="83">
                  <c:v>133320.08865160847</c:v>
                </c:pt>
                <c:pt idx="84">
                  <c:v>132895.67852909528</c:v>
                </c:pt>
                <c:pt idx="85">
                  <c:v>132470.24274878603</c:v>
                </c:pt>
                <c:pt idx="86">
                  <c:v>132043.7788320077</c:v>
                </c:pt>
                <c:pt idx="87">
                  <c:v>131616.28429409713</c:v>
                </c:pt>
                <c:pt idx="88">
                  <c:v>131187.75664438662</c:v>
                </c:pt>
                <c:pt idx="89">
                  <c:v>130758.19338618932</c:v>
                </c:pt>
                <c:pt idx="90">
                  <c:v>130327.5920167847</c:v>
                </c:pt>
                <c:pt idx="91">
                  <c:v>129895.95002740403</c:v>
                </c:pt>
                <c:pt idx="92">
                  <c:v>129463.26490321568</c:v>
                </c:pt>
                <c:pt idx="93">
                  <c:v>129029.53412331054</c:v>
                </c:pt>
                <c:pt idx="94">
                  <c:v>128594.7551606873</c:v>
                </c:pt>
                <c:pt idx="95">
                  <c:v>128158.92548223773</c:v>
                </c:pt>
                <c:pt idx="96">
                  <c:v>127722.04254873189</c:v>
                </c:pt>
                <c:pt idx="97">
                  <c:v>127284.10381480341</c:v>
                </c:pt>
                <c:pt idx="98">
                  <c:v>126845.10672893461</c:v>
                </c:pt>
                <c:pt idx="99">
                  <c:v>126405.04873344162</c:v>
                </c:pt>
                <c:pt idx="100">
                  <c:v>125963.92726445953</c:v>
                </c:pt>
                <c:pt idx="101">
                  <c:v>125521.7397519274</c:v>
                </c:pt>
                <c:pt idx="102">
                  <c:v>125078.48361957331</c:v>
                </c:pt>
                <c:pt idx="103">
                  <c:v>124634.15628489936</c:v>
                </c:pt>
                <c:pt idx="104">
                  <c:v>124188.75515916663</c:v>
                </c:pt>
                <c:pt idx="105">
                  <c:v>123742.27764738003</c:v>
                </c:pt>
                <c:pt idx="106">
                  <c:v>123294.7211482733</c:v>
                </c:pt>
                <c:pt idx="107">
                  <c:v>122846.08305429372</c:v>
                </c:pt>
                <c:pt idx="108">
                  <c:v>122396.36075158702</c:v>
                </c:pt>
                <c:pt idx="109">
                  <c:v>121945.55161998211</c:v>
                </c:pt>
                <c:pt idx="110">
                  <c:v>121493.65303297582</c:v>
                </c:pt>
                <c:pt idx="111">
                  <c:v>121040.6623577176</c:v>
                </c:pt>
                <c:pt idx="112">
                  <c:v>120586.57695499418</c:v>
                </c:pt>
                <c:pt idx="113">
                  <c:v>120131.39417921417</c:v>
                </c:pt>
                <c:pt idx="114">
                  <c:v>119675.1113783927</c:v>
                </c:pt>
                <c:pt idx="115">
                  <c:v>119217.7258941359</c:v>
                </c:pt>
                <c:pt idx="116">
                  <c:v>118759.23506162548</c:v>
                </c:pt>
                <c:pt idx="117">
                  <c:v>118299.63620960317</c:v>
                </c:pt>
                <c:pt idx="118">
                  <c:v>117838.92666035514</c:v>
                </c:pt>
                <c:pt idx="119">
                  <c:v>117377.10372969642</c:v>
                </c:pt>
                <c:pt idx="120">
                  <c:v>116914.16472695528</c:v>
                </c:pt>
                <c:pt idx="121">
                  <c:v>116450.1069549575</c:v>
                </c:pt>
                <c:pt idx="122">
                  <c:v>115984.92771001074</c:v>
                </c:pt>
                <c:pt idx="123">
                  <c:v>115518.6242818887</c:v>
                </c:pt>
                <c:pt idx="124">
                  <c:v>115051.19395381535</c:v>
                </c:pt>
                <c:pt idx="125">
                  <c:v>114582.63400244917</c:v>
                </c:pt>
                <c:pt idx="126">
                  <c:v>114112.94169786718</c:v>
                </c:pt>
                <c:pt idx="127">
                  <c:v>113642.11430354911</c:v>
                </c:pt>
                <c:pt idx="128">
                  <c:v>113170.14907636144</c:v>
                </c:pt>
                <c:pt idx="129">
                  <c:v>112697.04326654141</c:v>
                </c:pt>
                <c:pt idx="130">
                  <c:v>112222.79411768098</c:v>
                </c:pt>
                <c:pt idx="131">
                  <c:v>111747.3988667108</c:v>
                </c:pt>
                <c:pt idx="132">
                  <c:v>111270.85474388412</c:v>
                </c:pt>
                <c:pt idx="133">
                  <c:v>110793.15897276059</c:v>
                </c:pt>
                <c:pt idx="134">
                  <c:v>110314.30877019018</c:v>
                </c:pt>
                <c:pt idx="135">
                  <c:v>109834.3013462969</c:v>
                </c:pt>
                <c:pt idx="136">
                  <c:v>109353.13390446253</c:v>
                </c:pt>
                <c:pt idx="137">
                  <c:v>108870.80364131041</c:v>
                </c:pt>
                <c:pt idx="138">
                  <c:v>108387.30774668901</c:v>
                </c:pt>
                <c:pt idx="139">
                  <c:v>107902.6434036556</c:v>
                </c:pt>
                <c:pt idx="140">
                  <c:v>107416.80778845986</c:v>
                </c:pt>
                <c:pt idx="141">
                  <c:v>106929.7980705274</c:v>
                </c:pt>
                <c:pt idx="142">
                  <c:v>106441.61141244326</c:v>
                </c:pt>
                <c:pt idx="143">
                  <c:v>105952.24496993542</c:v>
                </c:pt>
                <c:pt idx="144">
                  <c:v>105461.69589185818</c:v>
                </c:pt>
                <c:pt idx="145">
                  <c:v>104969.9613201756</c:v>
                </c:pt>
                <c:pt idx="146">
                  <c:v>104477.03838994478</c:v>
                </c:pt>
                <c:pt idx="147">
                  <c:v>103982.92422929923</c:v>
                </c:pt>
                <c:pt idx="148">
                  <c:v>103487.61595943212</c:v>
                </c:pt>
                <c:pt idx="149">
                  <c:v>102991.1106945795</c:v>
                </c:pt>
                <c:pt idx="150">
                  <c:v>102493.4055420035</c:v>
                </c:pt>
                <c:pt idx="151">
                  <c:v>101994.49760197542</c:v>
                </c:pt>
                <c:pt idx="152">
                  <c:v>101494.38396775896</c:v>
                </c:pt>
                <c:pt idx="153">
                  <c:v>100993.06172559313</c:v>
                </c:pt>
                <c:pt idx="154">
                  <c:v>100490.5279546754</c:v>
                </c:pt>
                <c:pt idx="155">
                  <c:v>99986.77972714462</c:v>
                </c:pt>
                <c:pt idx="156">
                  <c:v>99481.81410806398</c:v>
                </c:pt>
                <c:pt idx="157">
                  <c:v>98975.62815540389</c:v>
                </c:pt>
                <c:pt idx="158">
                  <c:v>98468.21892002487</c:v>
                </c:pt>
                <c:pt idx="159">
                  <c:v>97959.58344566035</c:v>
                </c:pt>
                <c:pt idx="160">
                  <c:v>97449.71876889945</c:v>
                </c:pt>
                <c:pt idx="161">
                  <c:v>96938.6219191697</c:v>
                </c:pt>
                <c:pt idx="162">
                  <c:v>96426.28991871979</c:v>
                </c:pt>
                <c:pt idx="163">
                  <c:v>95912.71978260211</c:v>
                </c:pt>
                <c:pt idx="164">
                  <c:v>95397.90851865549</c:v>
                </c:pt>
                <c:pt idx="165">
                  <c:v>94881.85312748766</c:v>
                </c:pt>
                <c:pt idx="166">
                  <c:v>94364.55060245785</c:v>
                </c:pt>
                <c:pt idx="167">
                  <c:v>93845.9979296592</c:v>
                </c:pt>
                <c:pt idx="168">
                  <c:v>93326.1920879013</c:v>
                </c:pt>
                <c:pt idx="169">
                  <c:v>92805.13004869249</c:v>
                </c:pt>
                <c:pt idx="170">
                  <c:v>92282.80877622226</c:v>
                </c:pt>
                <c:pt idx="171">
                  <c:v>91759.22522734354</c:v>
                </c:pt>
                <c:pt idx="172">
                  <c:v>91234.37635155505</c:v>
                </c:pt>
                <c:pt idx="173">
                  <c:v>90708.2590909834</c:v>
                </c:pt>
                <c:pt idx="174">
                  <c:v>90180.87038036536</c:v>
                </c:pt>
                <c:pt idx="175">
                  <c:v>89652.20714703</c:v>
                </c:pt>
                <c:pt idx="176">
                  <c:v>89122.26631088075</c:v>
                </c:pt>
                <c:pt idx="177">
                  <c:v>88591.04478437746</c:v>
                </c:pt>
                <c:pt idx="178">
                  <c:v>88058.53947251846</c:v>
                </c:pt>
                <c:pt idx="179">
                  <c:v>87524.74727282247</c:v>
                </c:pt>
                <c:pt idx="180">
                  <c:v>86989.66507531055</c:v>
                </c:pt>
                <c:pt idx="181">
                  <c:v>86453.28976248797</c:v>
                </c:pt>
                <c:pt idx="182">
                  <c:v>85915.61820932607</c:v>
                </c:pt>
                <c:pt idx="183">
                  <c:v>85376.64728324403</c:v>
                </c:pt>
                <c:pt idx="184">
                  <c:v>84836.37384409063</c:v>
                </c:pt>
                <c:pt idx="185">
                  <c:v>84294.79474412595</c:v>
                </c:pt>
                <c:pt idx="186">
                  <c:v>83751.906828003</c:v>
                </c:pt>
                <c:pt idx="187">
                  <c:v>83207.70693274944</c:v>
                </c:pt>
                <c:pt idx="188">
                  <c:v>82662.19188774901</c:v>
                </c:pt>
                <c:pt idx="189">
                  <c:v>82115.35851472316</c:v>
                </c:pt>
                <c:pt idx="190">
                  <c:v>81567.2036277125</c:v>
                </c:pt>
                <c:pt idx="191">
                  <c:v>81017.72403305823</c:v>
                </c:pt>
                <c:pt idx="192">
                  <c:v>80466.91652938354</c:v>
                </c:pt>
                <c:pt idx="193">
                  <c:v>79914.77790757497</c:v>
                </c:pt>
                <c:pt idx="194">
                  <c:v>79361.3049507637</c:v>
                </c:pt>
                <c:pt idx="195">
                  <c:v>78806.4944343068</c:v>
                </c:pt>
                <c:pt idx="196">
                  <c:v>78250.34312576847</c:v>
                </c:pt>
                <c:pt idx="197">
                  <c:v>77692.84778490117</c:v>
                </c:pt>
                <c:pt idx="198">
                  <c:v>77134.00516362677</c:v>
                </c:pt>
                <c:pt idx="199">
                  <c:v>76573.81200601763</c:v>
                </c:pt>
                <c:pt idx="200">
                  <c:v>76012.2650482776</c:v>
                </c:pt>
                <c:pt idx="201">
                  <c:v>75449.36101872302</c:v>
                </c:pt>
                <c:pt idx="202">
                  <c:v>74885.0966377637</c:v>
                </c:pt>
                <c:pt idx="203">
                  <c:v>74319.46861788371</c:v>
                </c:pt>
                <c:pt idx="204">
                  <c:v>73752.47366362235</c:v>
                </c:pt>
                <c:pt idx="205">
                  <c:v>73184.10847155486</c:v>
                </c:pt>
                <c:pt idx="206">
                  <c:v>72614.36973027322</c:v>
                </c:pt>
                <c:pt idx="207">
                  <c:v>72043.25412036681</c:v>
                </c:pt>
                <c:pt idx="208">
                  <c:v>71470.75831440312</c:v>
                </c:pt>
                <c:pt idx="209">
                  <c:v>70896.87897690835</c:v>
                </c:pt>
                <c:pt idx="210">
                  <c:v>70321.61276434797</c:v>
                </c:pt>
                <c:pt idx="211">
                  <c:v>69744.95632510724</c:v>
                </c:pt>
                <c:pt idx="212">
                  <c:v>69166.90629947167</c:v>
                </c:pt>
                <c:pt idx="213">
                  <c:v>68587.45931960749</c:v>
                </c:pt>
                <c:pt idx="214">
                  <c:v>68006.61200954196</c:v>
                </c:pt>
                <c:pt idx="215">
                  <c:v>67424.36098514378</c:v>
                </c:pt>
                <c:pt idx="216">
                  <c:v>66840.7028541033</c:v>
                </c:pt>
                <c:pt idx="217">
                  <c:v>66255.63421591281</c:v>
                </c:pt>
                <c:pt idx="218">
                  <c:v>65669.15166184668</c:v>
                </c:pt>
                <c:pt idx="219">
                  <c:v>65081.25177494157</c:v>
                </c:pt>
                <c:pt idx="220">
                  <c:v>64491.93112997644</c:v>
                </c:pt>
                <c:pt idx="221">
                  <c:v>63901.186293452636</c:v>
                </c:pt>
                <c:pt idx="222">
                  <c:v>63309.0138235739</c:v>
                </c:pt>
                <c:pt idx="223">
                  <c:v>62715.41027022629</c:v>
                </c:pt>
                <c:pt idx="224">
                  <c:v>62120.372174958095</c:v>
                </c:pt>
                <c:pt idx="225">
                  <c:v>61523.896070959665</c:v>
                </c:pt>
                <c:pt idx="226">
                  <c:v>60925.97848304324</c:v>
                </c:pt>
                <c:pt idx="227">
                  <c:v>60326.61592762268</c:v>
                </c:pt>
                <c:pt idx="228">
                  <c:v>59725.804912693195</c:v>
                </c:pt>
                <c:pt idx="229">
                  <c:v>59123.54193781096</c:v>
                </c:pt>
                <c:pt idx="230">
                  <c:v>58519.823494072756</c:v>
                </c:pt>
                <c:pt idx="231">
                  <c:v>57914.64606409552</c:v>
                </c:pt>
                <c:pt idx="232">
                  <c:v>57308.00612199584</c:v>
                </c:pt>
                <c:pt idx="233">
                  <c:v>56699.90013336942</c:v>
                </c:pt>
                <c:pt idx="234">
                  <c:v>56090.32455527048</c:v>
                </c:pt>
                <c:pt idx="235">
                  <c:v>55479.27583619114</c:v>
                </c:pt>
                <c:pt idx="236">
                  <c:v>54866.75041604069</c:v>
                </c:pt>
                <c:pt idx="237">
                  <c:v>54252.744726124874</c:v>
                </c:pt>
                <c:pt idx="238">
                  <c:v>53637.2551891251</c:v>
                </c:pt>
                <c:pt idx="239">
                  <c:v>53020.278219077576</c:v>
                </c:pt>
                <c:pt idx="240">
                  <c:v>52401.81022135244</c:v>
                </c:pt>
                <c:pt idx="241">
                  <c:v>51781.847592632796</c:v>
                </c:pt>
                <c:pt idx="242">
                  <c:v>51160.386720893744</c:v>
                </c:pt>
                <c:pt idx="243">
                  <c:v>50537.42398538133</c:v>
                </c:pt>
                <c:pt idx="244">
                  <c:v>49912.95575659142</c:v>
                </c:pt>
                <c:pt idx="245">
                  <c:v>49286.97839624861</c:v>
                </c:pt>
                <c:pt idx="246">
                  <c:v>48659.48825728497</c:v>
                </c:pt>
                <c:pt idx="247">
                  <c:v>48030.48168381883</c:v>
                </c:pt>
                <c:pt idx="248">
                  <c:v>47399.955011133476</c:v>
                </c:pt>
                <c:pt idx="249">
                  <c:v>46767.9045656558</c:v>
                </c:pt>
                <c:pt idx="250">
                  <c:v>46134.326664934895</c:v>
                </c:pt>
                <c:pt idx="251">
                  <c:v>45499.217617620576</c:v>
                </c:pt>
                <c:pt idx="252">
                  <c:v>44862.573723441914</c:v>
                </c:pt>
                <c:pt idx="253">
                  <c:v>44224.391273185654</c:v>
                </c:pt>
                <c:pt idx="254">
                  <c:v>43584.666548674606</c:v>
                </c:pt>
                <c:pt idx="255">
                  <c:v>42943.395822745995</c:v>
                </c:pt>
                <c:pt idx="256">
                  <c:v>42300.57535922972</c:v>
                </c:pt>
                <c:pt idx="257">
                  <c:v>41656.20141292662</c:v>
                </c:pt>
                <c:pt idx="258">
                  <c:v>41010.27022958661</c:v>
                </c:pt>
                <c:pt idx="259">
                  <c:v>40362.778045886866</c:v>
                </c:pt>
                <c:pt idx="260">
                  <c:v>39713.721089409846</c:v>
                </c:pt>
                <c:pt idx="261">
                  <c:v>39063.095578621345</c:v>
                </c:pt>
                <c:pt idx="262">
                  <c:v>38410.89772284844</c:v>
                </c:pt>
                <c:pt idx="263">
                  <c:v>37757.12372225741</c:v>
                </c:pt>
                <c:pt idx="264">
                  <c:v>37101.769767831625</c:v>
                </c:pt>
                <c:pt idx="265">
                  <c:v>36444.832041349306</c:v>
                </c:pt>
                <c:pt idx="266">
                  <c:v>35786.30671536132</c:v>
                </c:pt>
                <c:pt idx="267">
                  <c:v>35126.18995316887</c:v>
                </c:pt>
                <c:pt idx="268">
                  <c:v>34464.47790880112</c:v>
                </c:pt>
                <c:pt idx="269">
                  <c:v>33801.166726992815</c:v>
                </c:pt>
                <c:pt idx="270">
                  <c:v>33136.252543161805</c:v>
                </c:pt>
                <c:pt idx="271">
                  <c:v>32469.731483386535</c:v>
                </c:pt>
                <c:pt idx="272">
                  <c:v>31801.599664383477</c:v>
                </c:pt>
                <c:pt idx="273">
                  <c:v>31131.853193484494</c:v>
                </c:pt>
                <c:pt idx="274">
                  <c:v>30460.48816861417</c:v>
                </c:pt>
                <c:pt idx="275">
                  <c:v>29787.50067826708</c:v>
                </c:pt>
                <c:pt idx="276">
                  <c:v>29112.88680148498</c:v>
                </c:pt>
                <c:pt idx="277">
                  <c:v>28436.64260783399</c:v>
                </c:pt>
                <c:pt idx="278">
                  <c:v>27758.76415738168</c:v>
                </c:pt>
                <c:pt idx="279">
                  <c:v>27079.247500674108</c:v>
                </c:pt>
                <c:pt idx="280">
                  <c:v>26398.088678712826</c:v>
                </c:pt>
                <c:pt idx="281">
                  <c:v>25715.283722931803</c:v>
                </c:pt>
                <c:pt idx="282">
                  <c:v>25030.82865517431</c:v>
                </c:pt>
                <c:pt idx="283">
                  <c:v>24344.71948766974</c:v>
                </c:pt>
                <c:pt idx="284">
                  <c:v>23656.952223010365</c:v>
                </c:pt>
                <c:pt idx="285">
                  <c:v>22967.522854128063</c:v>
                </c:pt>
                <c:pt idx="286">
                  <c:v>22276.427364270963</c:v>
                </c:pt>
                <c:pt idx="287">
                  <c:v>21583.66172698004</c:v>
                </c:pt>
                <c:pt idx="288">
                  <c:v>20889.221906065664</c:v>
                </c:pt>
                <c:pt idx="289">
                  <c:v>20193.10385558408</c:v>
                </c:pt>
                <c:pt idx="290">
                  <c:v>19495.30351981383</c:v>
                </c:pt>
                <c:pt idx="291">
                  <c:v>18795.816833232137</c:v>
                </c:pt>
                <c:pt idx="292">
                  <c:v>18094.639720491203</c:v>
                </c:pt>
                <c:pt idx="293">
                  <c:v>17391.76809639448</c:v>
                </c:pt>
                <c:pt idx="294">
                  <c:v>16687.19786587286</c:v>
                </c:pt>
                <c:pt idx="295">
                  <c:v>15980.924923960807</c:v>
                </c:pt>
                <c:pt idx="296">
                  <c:v>15272.945155772468</c:v>
                </c:pt>
                <c:pt idx="297">
                  <c:v>14563.254436477675</c:v>
                </c:pt>
                <c:pt idx="298">
                  <c:v>13851.848631277919</c:v>
                </c:pt>
                <c:pt idx="299">
                  <c:v>13138.723595382264</c:v>
                </c:pt>
                <c:pt idx="300">
                  <c:v>12423.875173983193</c:v>
                </c:pt>
                <c:pt idx="301">
                  <c:v>11707.299202232409</c:v>
                </c:pt>
                <c:pt idx="302">
                  <c:v>10988.99150521656</c:v>
                </c:pt>
                <c:pt idx="303">
                  <c:v>10268.947897932923</c:v>
                </c:pt>
                <c:pt idx="304">
                  <c:v>9547.164185265017</c:v>
                </c:pt>
                <c:pt idx="305">
                  <c:v>8823.636161958164</c:v>
                </c:pt>
                <c:pt idx="306">
                  <c:v>8098.359612594986</c:v>
                </c:pt>
                <c:pt idx="307">
                  <c:v>7371.330311570847</c:v>
                </c:pt>
                <c:pt idx="308">
                  <c:v>6642.544023069233</c:v>
                </c:pt>
                <c:pt idx="309">
                  <c:v>5911.996501037073</c:v>
                </c:pt>
                <c:pt idx="310">
                  <c:v>5179.683489160003</c:v>
                </c:pt>
                <c:pt idx="311">
                  <c:v>4445.600720837563</c:v>
                </c:pt>
                <c:pt idx="312">
                  <c:v>3709.7439191583435</c:v>
                </c:pt>
                <c:pt idx="313">
                  <c:v>2972.1087968750658</c:v>
                </c:pt>
                <c:pt idx="314">
                  <c:v>2232.6910563796037</c:v>
                </c:pt>
                <c:pt idx="315">
                  <c:v>1491.486389677944</c:v>
                </c:pt>
                <c:pt idx="316">
                  <c:v>748.4904783650888</c:v>
                </c:pt>
                <c:pt idx="317">
                  <c:v>3.6989935998942656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</c:numCache>
            </c:numRef>
          </c:val>
        </c:ser>
        <c:ser>
          <c:idx val="1"/>
          <c:order val="1"/>
          <c:tx>
            <c:v>Sin amortizar</c:v>
          </c:tx>
          <c:spPr>
            <a:ln w="25400">
              <a:solidFill>
                <a:srgbClr val="D8A65C"/>
              </a:solidFill>
              <a:prstDash val="dash"/>
            </a:ln>
          </c:spPr>
          <c:marker>
            <c:symbol val="none"/>
          </c:marker>
          <c:cat>
            <c:numRef>
              <c:f>Cuadro!$C$6:$C$485</c:f>
              <c:numCache>
                <c:formatCode>General</c:formatCode>
                <c:ptCount val="480"/>
                <c:pt idx="0">
                  <c:v>46327.0</c:v>
                </c:pt>
                <c:pt idx="1">
                  <c:v>46357.0</c:v>
                </c:pt>
                <c:pt idx="2">
                  <c:v>46388.0</c:v>
                </c:pt>
                <c:pt idx="3">
                  <c:v>46419.0</c:v>
                </c:pt>
                <c:pt idx="4">
                  <c:v>46447.0</c:v>
                </c:pt>
                <c:pt idx="5">
                  <c:v>46478.0</c:v>
                </c:pt>
                <c:pt idx="6">
                  <c:v>46508.0</c:v>
                </c:pt>
                <c:pt idx="7">
                  <c:v>46539.0</c:v>
                </c:pt>
                <c:pt idx="8">
                  <c:v>46569.0</c:v>
                </c:pt>
                <c:pt idx="9">
                  <c:v>46600.0</c:v>
                </c:pt>
                <c:pt idx="10">
                  <c:v>46631.0</c:v>
                </c:pt>
                <c:pt idx="11">
                  <c:v>46661.0</c:v>
                </c:pt>
                <c:pt idx="12">
                  <c:v>46692.0</c:v>
                </c:pt>
                <c:pt idx="13">
                  <c:v>46722.0</c:v>
                </c:pt>
                <c:pt idx="14">
                  <c:v>46753.0</c:v>
                </c:pt>
                <c:pt idx="15">
                  <c:v>46784.0</c:v>
                </c:pt>
                <c:pt idx="16">
                  <c:v>46813.0</c:v>
                </c:pt>
                <c:pt idx="17">
                  <c:v>46844.0</c:v>
                </c:pt>
                <c:pt idx="18">
                  <c:v>46874.0</c:v>
                </c:pt>
                <c:pt idx="19">
                  <c:v>46905.0</c:v>
                </c:pt>
                <c:pt idx="20">
                  <c:v>46935.0</c:v>
                </c:pt>
                <c:pt idx="21">
                  <c:v>46966.0</c:v>
                </c:pt>
                <c:pt idx="22">
                  <c:v>46997.0</c:v>
                </c:pt>
                <c:pt idx="23">
                  <c:v>47027.0</c:v>
                </c:pt>
                <c:pt idx="24">
                  <c:v>47058.0</c:v>
                </c:pt>
                <c:pt idx="25">
                  <c:v>47088.0</c:v>
                </c:pt>
                <c:pt idx="26">
                  <c:v>47119.0</c:v>
                </c:pt>
                <c:pt idx="27">
                  <c:v>47150.0</c:v>
                </c:pt>
                <c:pt idx="28">
                  <c:v>47178.0</c:v>
                </c:pt>
                <c:pt idx="29">
                  <c:v>47209.0</c:v>
                </c:pt>
                <c:pt idx="30">
                  <c:v>47239.0</c:v>
                </c:pt>
                <c:pt idx="31">
                  <c:v>47270.0</c:v>
                </c:pt>
                <c:pt idx="32">
                  <c:v>47300.0</c:v>
                </c:pt>
                <c:pt idx="33">
                  <c:v>47331.0</c:v>
                </c:pt>
                <c:pt idx="34">
                  <c:v>47362.0</c:v>
                </c:pt>
                <c:pt idx="35">
                  <c:v>47392.0</c:v>
                </c:pt>
                <c:pt idx="36">
                  <c:v>47423.0</c:v>
                </c:pt>
                <c:pt idx="37">
                  <c:v>47453.0</c:v>
                </c:pt>
                <c:pt idx="38">
                  <c:v>47484.0</c:v>
                </c:pt>
                <c:pt idx="39">
                  <c:v>47515.0</c:v>
                </c:pt>
                <c:pt idx="40">
                  <c:v>47543.0</c:v>
                </c:pt>
                <c:pt idx="41">
                  <c:v>47574.0</c:v>
                </c:pt>
                <c:pt idx="42">
                  <c:v>47604.0</c:v>
                </c:pt>
                <c:pt idx="43">
                  <c:v>47635.0</c:v>
                </c:pt>
                <c:pt idx="44">
                  <c:v>47665.0</c:v>
                </c:pt>
                <c:pt idx="45">
                  <c:v>47696.0</c:v>
                </c:pt>
                <c:pt idx="46">
                  <c:v>47727.0</c:v>
                </c:pt>
                <c:pt idx="47">
                  <c:v>47757.0</c:v>
                </c:pt>
                <c:pt idx="48">
                  <c:v>47788.0</c:v>
                </c:pt>
                <c:pt idx="49">
                  <c:v>47818.0</c:v>
                </c:pt>
                <c:pt idx="50">
                  <c:v>47849.0</c:v>
                </c:pt>
                <c:pt idx="51">
                  <c:v>47880.0</c:v>
                </c:pt>
                <c:pt idx="52">
                  <c:v>47908.0</c:v>
                </c:pt>
                <c:pt idx="53">
                  <c:v>47939.0</c:v>
                </c:pt>
                <c:pt idx="54">
                  <c:v>47969.0</c:v>
                </c:pt>
                <c:pt idx="55">
                  <c:v>48000.0</c:v>
                </c:pt>
                <c:pt idx="56">
                  <c:v>48030.0</c:v>
                </c:pt>
                <c:pt idx="57">
                  <c:v>48061.0</c:v>
                </c:pt>
                <c:pt idx="58">
                  <c:v>48092.0</c:v>
                </c:pt>
                <c:pt idx="59">
                  <c:v>48122.0</c:v>
                </c:pt>
                <c:pt idx="60">
                  <c:v>48153.0</c:v>
                </c:pt>
                <c:pt idx="61">
                  <c:v>48183.0</c:v>
                </c:pt>
                <c:pt idx="62">
                  <c:v>48214.0</c:v>
                </c:pt>
                <c:pt idx="63">
                  <c:v>48245.0</c:v>
                </c:pt>
                <c:pt idx="64">
                  <c:v>48274.0</c:v>
                </c:pt>
                <c:pt idx="65">
                  <c:v>48305.0</c:v>
                </c:pt>
                <c:pt idx="66">
                  <c:v>48335.0</c:v>
                </c:pt>
                <c:pt idx="67">
                  <c:v>48366.0</c:v>
                </c:pt>
                <c:pt idx="68">
                  <c:v>48396.0</c:v>
                </c:pt>
                <c:pt idx="69">
                  <c:v>48427.0</c:v>
                </c:pt>
                <c:pt idx="70">
                  <c:v>48458.0</c:v>
                </c:pt>
                <c:pt idx="71">
                  <c:v>48488.0</c:v>
                </c:pt>
                <c:pt idx="72">
                  <c:v>48519.0</c:v>
                </c:pt>
                <c:pt idx="73">
                  <c:v>48549.0</c:v>
                </c:pt>
                <c:pt idx="74">
                  <c:v>48580.0</c:v>
                </c:pt>
                <c:pt idx="75">
                  <c:v>48611.0</c:v>
                </c:pt>
                <c:pt idx="76">
                  <c:v>48639.0</c:v>
                </c:pt>
                <c:pt idx="77">
                  <c:v>48670.0</c:v>
                </c:pt>
                <c:pt idx="78">
                  <c:v>48700.0</c:v>
                </c:pt>
                <c:pt idx="79">
                  <c:v>48731.0</c:v>
                </c:pt>
                <c:pt idx="80">
                  <c:v>48761.0</c:v>
                </c:pt>
                <c:pt idx="81">
                  <c:v>48792.0</c:v>
                </c:pt>
                <c:pt idx="82">
                  <c:v>48823.0</c:v>
                </c:pt>
                <c:pt idx="83">
                  <c:v>48853.0</c:v>
                </c:pt>
                <c:pt idx="84">
                  <c:v>48884.0</c:v>
                </c:pt>
                <c:pt idx="85">
                  <c:v>48914.0</c:v>
                </c:pt>
                <c:pt idx="86">
                  <c:v>48945.0</c:v>
                </c:pt>
                <c:pt idx="87">
                  <c:v>48976.0</c:v>
                </c:pt>
                <c:pt idx="88">
                  <c:v>49004.0</c:v>
                </c:pt>
                <c:pt idx="89">
                  <c:v>49035.0</c:v>
                </c:pt>
                <c:pt idx="90">
                  <c:v>49065.0</c:v>
                </c:pt>
                <c:pt idx="91">
                  <c:v>49096.0</c:v>
                </c:pt>
                <c:pt idx="92">
                  <c:v>49126.0</c:v>
                </c:pt>
                <c:pt idx="93">
                  <c:v>49157.0</c:v>
                </c:pt>
                <c:pt idx="94">
                  <c:v>49188.0</c:v>
                </c:pt>
                <c:pt idx="95">
                  <c:v>49218.0</c:v>
                </c:pt>
                <c:pt idx="96">
                  <c:v>49249.0</c:v>
                </c:pt>
                <c:pt idx="97">
                  <c:v>49279.0</c:v>
                </c:pt>
                <c:pt idx="98">
                  <c:v>49310.0</c:v>
                </c:pt>
                <c:pt idx="99">
                  <c:v>49341.0</c:v>
                </c:pt>
                <c:pt idx="100">
                  <c:v>49369.0</c:v>
                </c:pt>
                <c:pt idx="101">
                  <c:v>49400.0</c:v>
                </c:pt>
                <c:pt idx="102">
                  <c:v>49430.0</c:v>
                </c:pt>
                <c:pt idx="103">
                  <c:v>49461.0</c:v>
                </c:pt>
                <c:pt idx="104">
                  <c:v>49491.0</c:v>
                </c:pt>
                <c:pt idx="105">
                  <c:v>49522.0</c:v>
                </c:pt>
                <c:pt idx="106">
                  <c:v>49553.0</c:v>
                </c:pt>
                <c:pt idx="107">
                  <c:v>49583.0</c:v>
                </c:pt>
                <c:pt idx="108">
                  <c:v>49614.0</c:v>
                </c:pt>
                <c:pt idx="109">
                  <c:v>49644.0</c:v>
                </c:pt>
                <c:pt idx="110">
                  <c:v>49675.0</c:v>
                </c:pt>
                <c:pt idx="111">
                  <c:v>49706.0</c:v>
                </c:pt>
                <c:pt idx="112">
                  <c:v>49735.0</c:v>
                </c:pt>
                <c:pt idx="113">
                  <c:v>49766.0</c:v>
                </c:pt>
                <c:pt idx="114">
                  <c:v>49796.0</c:v>
                </c:pt>
                <c:pt idx="115">
                  <c:v>49827.0</c:v>
                </c:pt>
                <c:pt idx="116">
                  <c:v>49857.0</c:v>
                </c:pt>
                <c:pt idx="117">
                  <c:v>49888.0</c:v>
                </c:pt>
                <c:pt idx="118">
                  <c:v>49919.0</c:v>
                </c:pt>
                <c:pt idx="119">
                  <c:v>49949.0</c:v>
                </c:pt>
                <c:pt idx="120">
                  <c:v>49980.0</c:v>
                </c:pt>
                <c:pt idx="121">
                  <c:v>50010.0</c:v>
                </c:pt>
                <c:pt idx="122">
                  <c:v>50041.0</c:v>
                </c:pt>
                <c:pt idx="123">
                  <c:v>50072.0</c:v>
                </c:pt>
                <c:pt idx="124">
                  <c:v>50100.0</c:v>
                </c:pt>
                <c:pt idx="125">
                  <c:v>50131.0</c:v>
                </c:pt>
                <c:pt idx="126">
                  <c:v>50161.0</c:v>
                </c:pt>
                <c:pt idx="127">
                  <c:v>50192.0</c:v>
                </c:pt>
                <c:pt idx="128">
                  <c:v>50222.0</c:v>
                </c:pt>
                <c:pt idx="129">
                  <c:v>50253.0</c:v>
                </c:pt>
                <c:pt idx="130">
                  <c:v>50284.0</c:v>
                </c:pt>
                <c:pt idx="131">
                  <c:v>50314.0</c:v>
                </c:pt>
                <c:pt idx="132">
                  <c:v>50345.0</c:v>
                </c:pt>
                <c:pt idx="133">
                  <c:v>50375.0</c:v>
                </c:pt>
                <c:pt idx="134">
                  <c:v>50406.0</c:v>
                </c:pt>
                <c:pt idx="135">
                  <c:v>50437.0</c:v>
                </c:pt>
                <c:pt idx="136">
                  <c:v>50465.0</c:v>
                </c:pt>
                <c:pt idx="137">
                  <c:v>50496.0</c:v>
                </c:pt>
                <c:pt idx="138">
                  <c:v>50526.0</c:v>
                </c:pt>
                <c:pt idx="139">
                  <c:v>50557.0</c:v>
                </c:pt>
                <c:pt idx="140">
                  <c:v>50587.0</c:v>
                </c:pt>
                <c:pt idx="141">
                  <c:v>50618.0</c:v>
                </c:pt>
                <c:pt idx="142">
                  <c:v>50649.0</c:v>
                </c:pt>
                <c:pt idx="143">
                  <c:v>50679.0</c:v>
                </c:pt>
                <c:pt idx="144">
                  <c:v>50710.0</c:v>
                </c:pt>
                <c:pt idx="145">
                  <c:v>50740.0</c:v>
                </c:pt>
                <c:pt idx="146">
                  <c:v>50771.0</c:v>
                </c:pt>
                <c:pt idx="147">
                  <c:v>50802.0</c:v>
                </c:pt>
                <c:pt idx="148">
                  <c:v>50830.0</c:v>
                </c:pt>
                <c:pt idx="149">
                  <c:v>50861.0</c:v>
                </c:pt>
                <c:pt idx="150">
                  <c:v>50891.0</c:v>
                </c:pt>
                <c:pt idx="151">
                  <c:v>50922.0</c:v>
                </c:pt>
                <c:pt idx="152">
                  <c:v>50952.0</c:v>
                </c:pt>
                <c:pt idx="153">
                  <c:v>50983.0</c:v>
                </c:pt>
                <c:pt idx="154">
                  <c:v>51014.0</c:v>
                </c:pt>
                <c:pt idx="155">
                  <c:v>51044.0</c:v>
                </c:pt>
                <c:pt idx="156">
                  <c:v>51075.0</c:v>
                </c:pt>
                <c:pt idx="157">
                  <c:v>51105.0</c:v>
                </c:pt>
                <c:pt idx="158">
                  <c:v>51136.0</c:v>
                </c:pt>
                <c:pt idx="159">
                  <c:v>51167.0</c:v>
                </c:pt>
                <c:pt idx="160">
                  <c:v>51196.0</c:v>
                </c:pt>
                <c:pt idx="161">
                  <c:v>51227.0</c:v>
                </c:pt>
                <c:pt idx="162">
                  <c:v>51257.0</c:v>
                </c:pt>
                <c:pt idx="163">
                  <c:v>51288.0</c:v>
                </c:pt>
                <c:pt idx="164">
                  <c:v>51318.0</c:v>
                </c:pt>
                <c:pt idx="165">
                  <c:v>51349.0</c:v>
                </c:pt>
                <c:pt idx="166">
                  <c:v>51380.0</c:v>
                </c:pt>
                <c:pt idx="167">
                  <c:v>51410.0</c:v>
                </c:pt>
                <c:pt idx="168">
                  <c:v>51441.0</c:v>
                </c:pt>
                <c:pt idx="169">
                  <c:v>51471.0</c:v>
                </c:pt>
                <c:pt idx="170">
                  <c:v>51502.0</c:v>
                </c:pt>
                <c:pt idx="171">
                  <c:v>51533.0</c:v>
                </c:pt>
                <c:pt idx="172">
                  <c:v>51561.0</c:v>
                </c:pt>
                <c:pt idx="173">
                  <c:v>51592.0</c:v>
                </c:pt>
                <c:pt idx="174">
                  <c:v>51622.0</c:v>
                </c:pt>
                <c:pt idx="175">
                  <c:v>51653.0</c:v>
                </c:pt>
                <c:pt idx="176">
                  <c:v>51683.0</c:v>
                </c:pt>
                <c:pt idx="177">
                  <c:v>51714.0</c:v>
                </c:pt>
                <c:pt idx="178">
                  <c:v>51745.0</c:v>
                </c:pt>
                <c:pt idx="179">
                  <c:v>51775.0</c:v>
                </c:pt>
                <c:pt idx="180">
                  <c:v>51806.0</c:v>
                </c:pt>
                <c:pt idx="181">
                  <c:v>51836.0</c:v>
                </c:pt>
                <c:pt idx="182">
                  <c:v>51867.0</c:v>
                </c:pt>
                <c:pt idx="183">
                  <c:v>51898.0</c:v>
                </c:pt>
                <c:pt idx="184">
                  <c:v>51926.0</c:v>
                </c:pt>
                <c:pt idx="185">
                  <c:v>51957.0</c:v>
                </c:pt>
                <c:pt idx="186">
                  <c:v>51987.0</c:v>
                </c:pt>
                <c:pt idx="187">
                  <c:v>52018.0</c:v>
                </c:pt>
                <c:pt idx="188">
                  <c:v>52048.0</c:v>
                </c:pt>
                <c:pt idx="189">
                  <c:v>52079.0</c:v>
                </c:pt>
                <c:pt idx="190">
                  <c:v>52110.0</c:v>
                </c:pt>
                <c:pt idx="191">
                  <c:v>52140.0</c:v>
                </c:pt>
                <c:pt idx="192">
                  <c:v>52171.0</c:v>
                </c:pt>
                <c:pt idx="193">
                  <c:v>52201.0</c:v>
                </c:pt>
                <c:pt idx="194">
                  <c:v>52232.0</c:v>
                </c:pt>
                <c:pt idx="195">
                  <c:v>52263.0</c:v>
                </c:pt>
                <c:pt idx="196">
                  <c:v>52291.0</c:v>
                </c:pt>
                <c:pt idx="197">
                  <c:v>52322.0</c:v>
                </c:pt>
                <c:pt idx="198">
                  <c:v>52352.0</c:v>
                </c:pt>
                <c:pt idx="199">
                  <c:v>52383.0</c:v>
                </c:pt>
                <c:pt idx="200">
                  <c:v>52413.0</c:v>
                </c:pt>
                <c:pt idx="201">
                  <c:v>52444.0</c:v>
                </c:pt>
                <c:pt idx="202">
                  <c:v>52475.0</c:v>
                </c:pt>
                <c:pt idx="203">
                  <c:v>52505.0</c:v>
                </c:pt>
                <c:pt idx="204">
                  <c:v>52536.0</c:v>
                </c:pt>
                <c:pt idx="205">
                  <c:v>52566.0</c:v>
                </c:pt>
                <c:pt idx="206">
                  <c:v>52597.0</c:v>
                </c:pt>
                <c:pt idx="207">
                  <c:v>52628.0</c:v>
                </c:pt>
                <c:pt idx="208">
                  <c:v>52657.0</c:v>
                </c:pt>
                <c:pt idx="209">
                  <c:v>52688.0</c:v>
                </c:pt>
                <c:pt idx="210">
                  <c:v>52718.0</c:v>
                </c:pt>
                <c:pt idx="211">
                  <c:v>52749.0</c:v>
                </c:pt>
                <c:pt idx="212">
                  <c:v>52779.0</c:v>
                </c:pt>
                <c:pt idx="213">
                  <c:v>52810.0</c:v>
                </c:pt>
                <c:pt idx="214">
                  <c:v>52841.0</c:v>
                </c:pt>
                <c:pt idx="215">
                  <c:v>52871.0</c:v>
                </c:pt>
                <c:pt idx="216">
                  <c:v>52902.0</c:v>
                </c:pt>
                <c:pt idx="217">
                  <c:v>52932.0</c:v>
                </c:pt>
                <c:pt idx="218">
                  <c:v>52963.0</c:v>
                </c:pt>
                <c:pt idx="219">
                  <c:v>52994.0</c:v>
                </c:pt>
                <c:pt idx="220">
                  <c:v>53022.0</c:v>
                </c:pt>
                <c:pt idx="221">
                  <c:v>53053.0</c:v>
                </c:pt>
                <c:pt idx="222">
                  <c:v>53083.0</c:v>
                </c:pt>
                <c:pt idx="223">
                  <c:v>53114.0</c:v>
                </c:pt>
                <c:pt idx="224">
                  <c:v>53144.0</c:v>
                </c:pt>
                <c:pt idx="225">
                  <c:v>53175.0</c:v>
                </c:pt>
                <c:pt idx="226">
                  <c:v>53206.0</c:v>
                </c:pt>
                <c:pt idx="227">
                  <c:v>53236.0</c:v>
                </c:pt>
                <c:pt idx="228">
                  <c:v>53267.0</c:v>
                </c:pt>
                <c:pt idx="229">
                  <c:v>53297.0</c:v>
                </c:pt>
                <c:pt idx="230">
                  <c:v>53328.0</c:v>
                </c:pt>
                <c:pt idx="231">
                  <c:v>53359.0</c:v>
                </c:pt>
                <c:pt idx="232">
                  <c:v>53387.0</c:v>
                </c:pt>
                <c:pt idx="233">
                  <c:v>53418.0</c:v>
                </c:pt>
                <c:pt idx="234">
                  <c:v>53448.0</c:v>
                </c:pt>
                <c:pt idx="235">
                  <c:v>53479.0</c:v>
                </c:pt>
                <c:pt idx="236">
                  <c:v>53509.0</c:v>
                </c:pt>
                <c:pt idx="237">
                  <c:v>53540.0</c:v>
                </c:pt>
                <c:pt idx="238">
                  <c:v>53571.0</c:v>
                </c:pt>
                <c:pt idx="239">
                  <c:v>53601.0</c:v>
                </c:pt>
                <c:pt idx="240">
                  <c:v>53632.0</c:v>
                </c:pt>
                <c:pt idx="241">
                  <c:v>53662.0</c:v>
                </c:pt>
                <c:pt idx="242">
                  <c:v>53693.0</c:v>
                </c:pt>
                <c:pt idx="243">
                  <c:v>53724.0</c:v>
                </c:pt>
                <c:pt idx="244">
                  <c:v>53752.0</c:v>
                </c:pt>
                <c:pt idx="245">
                  <c:v>53783.0</c:v>
                </c:pt>
                <c:pt idx="246">
                  <c:v>53813.0</c:v>
                </c:pt>
                <c:pt idx="247">
                  <c:v>53844.0</c:v>
                </c:pt>
                <c:pt idx="248">
                  <c:v>53874.0</c:v>
                </c:pt>
                <c:pt idx="249">
                  <c:v>53905.0</c:v>
                </c:pt>
                <c:pt idx="250">
                  <c:v>53936.0</c:v>
                </c:pt>
                <c:pt idx="251">
                  <c:v>53966.0</c:v>
                </c:pt>
                <c:pt idx="252">
                  <c:v>53997.0</c:v>
                </c:pt>
                <c:pt idx="253">
                  <c:v>54027.0</c:v>
                </c:pt>
                <c:pt idx="254">
                  <c:v>54058.0</c:v>
                </c:pt>
                <c:pt idx="255">
                  <c:v>54089.0</c:v>
                </c:pt>
                <c:pt idx="256">
                  <c:v>54118.0</c:v>
                </c:pt>
                <c:pt idx="257">
                  <c:v>54149.0</c:v>
                </c:pt>
                <c:pt idx="258">
                  <c:v>54179.0</c:v>
                </c:pt>
                <c:pt idx="259">
                  <c:v>54210.0</c:v>
                </c:pt>
                <c:pt idx="260">
                  <c:v>54240.0</c:v>
                </c:pt>
                <c:pt idx="261">
                  <c:v>54271.0</c:v>
                </c:pt>
                <c:pt idx="262">
                  <c:v>54302.0</c:v>
                </c:pt>
                <c:pt idx="263">
                  <c:v>54332.0</c:v>
                </c:pt>
                <c:pt idx="264">
                  <c:v>54363.0</c:v>
                </c:pt>
                <c:pt idx="265">
                  <c:v>54393.0</c:v>
                </c:pt>
                <c:pt idx="266">
                  <c:v>54424.0</c:v>
                </c:pt>
                <c:pt idx="267">
                  <c:v>54455.0</c:v>
                </c:pt>
                <c:pt idx="268">
                  <c:v>54483.0</c:v>
                </c:pt>
                <c:pt idx="269">
                  <c:v>54514.0</c:v>
                </c:pt>
                <c:pt idx="270">
                  <c:v>54544.0</c:v>
                </c:pt>
                <c:pt idx="271">
                  <c:v>54575.0</c:v>
                </c:pt>
                <c:pt idx="272">
                  <c:v>54605.0</c:v>
                </c:pt>
                <c:pt idx="273">
                  <c:v>54636.0</c:v>
                </c:pt>
                <c:pt idx="274">
                  <c:v>54667.0</c:v>
                </c:pt>
                <c:pt idx="275">
                  <c:v>54697.0</c:v>
                </c:pt>
                <c:pt idx="276">
                  <c:v>54728.0</c:v>
                </c:pt>
                <c:pt idx="277">
                  <c:v>54758.0</c:v>
                </c:pt>
                <c:pt idx="278">
                  <c:v>54789.0</c:v>
                </c:pt>
                <c:pt idx="279">
                  <c:v>54820.0</c:v>
                </c:pt>
                <c:pt idx="280">
                  <c:v>54848.0</c:v>
                </c:pt>
                <c:pt idx="281">
                  <c:v>54879.0</c:v>
                </c:pt>
                <c:pt idx="282">
                  <c:v>54909.0</c:v>
                </c:pt>
                <c:pt idx="283">
                  <c:v>54940.0</c:v>
                </c:pt>
                <c:pt idx="284">
                  <c:v>54970.0</c:v>
                </c:pt>
                <c:pt idx="285">
                  <c:v>55001.0</c:v>
                </c:pt>
                <c:pt idx="286">
                  <c:v>55032.0</c:v>
                </c:pt>
                <c:pt idx="287">
                  <c:v>55062.0</c:v>
                </c:pt>
                <c:pt idx="288">
                  <c:v>55093.0</c:v>
                </c:pt>
                <c:pt idx="289">
                  <c:v>55123.0</c:v>
                </c:pt>
                <c:pt idx="290">
                  <c:v>55154.0</c:v>
                </c:pt>
                <c:pt idx="291">
                  <c:v>55185.0</c:v>
                </c:pt>
                <c:pt idx="292">
                  <c:v>55213.0</c:v>
                </c:pt>
                <c:pt idx="293">
                  <c:v>55244.0</c:v>
                </c:pt>
                <c:pt idx="294">
                  <c:v>55274.0</c:v>
                </c:pt>
                <c:pt idx="295">
                  <c:v>55305.0</c:v>
                </c:pt>
                <c:pt idx="296">
                  <c:v>55335.0</c:v>
                </c:pt>
                <c:pt idx="297">
                  <c:v>55366.0</c:v>
                </c:pt>
                <c:pt idx="298">
                  <c:v>55397.0</c:v>
                </c:pt>
                <c:pt idx="299">
                  <c:v>55427.0</c:v>
                </c:pt>
                <c:pt idx="300">
                  <c:v>55458.0</c:v>
                </c:pt>
                <c:pt idx="301">
                  <c:v>55488.0</c:v>
                </c:pt>
                <c:pt idx="302">
                  <c:v>55519.0</c:v>
                </c:pt>
                <c:pt idx="303">
                  <c:v>55550.0</c:v>
                </c:pt>
                <c:pt idx="304">
                  <c:v>55579.0</c:v>
                </c:pt>
                <c:pt idx="305">
                  <c:v>55610.0</c:v>
                </c:pt>
                <c:pt idx="306">
                  <c:v>55640.0</c:v>
                </c:pt>
                <c:pt idx="307">
                  <c:v>55671.0</c:v>
                </c:pt>
                <c:pt idx="308">
                  <c:v>55701.0</c:v>
                </c:pt>
                <c:pt idx="309">
                  <c:v>55732.0</c:v>
                </c:pt>
                <c:pt idx="310">
                  <c:v>55763.0</c:v>
                </c:pt>
                <c:pt idx="311">
                  <c:v>55793.0</c:v>
                </c:pt>
                <c:pt idx="312">
                  <c:v>55824.0</c:v>
                </c:pt>
                <c:pt idx="313">
                  <c:v>55854.0</c:v>
                </c:pt>
                <c:pt idx="314">
                  <c:v>55885.0</c:v>
                </c:pt>
                <c:pt idx="315">
                  <c:v>55916.0</c:v>
                </c:pt>
                <c:pt idx="316">
                  <c:v>55944.0</c:v>
                </c:pt>
                <c:pt idx="317">
                  <c:v>55975.0</c:v>
                </c:pt>
                <c:pt idx="318">
                  <c:v>56005.0</c:v>
                </c:pt>
                <c:pt idx="319">
                  <c:v>56036.0</c:v>
                </c:pt>
                <c:pt idx="320">
                  <c:v>56066.0</c:v>
                </c:pt>
                <c:pt idx="321">
                  <c:v>56097.0</c:v>
                </c:pt>
                <c:pt idx="322">
                  <c:v>56128.0</c:v>
                </c:pt>
                <c:pt idx="323">
                  <c:v>56158.0</c:v>
                </c:pt>
                <c:pt idx="324">
                  <c:v>56189.0</c:v>
                </c:pt>
                <c:pt idx="325">
                  <c:v>56219.0</c:v>
                </c:pt>
                <c:pt idx="326">
                  <c:v>56250.0</c:v>
                </c:pt>
                <c:pt idx="327">
                  <c:v>56281.0</c:v>
                </c:pt>
                <c:pt idx="328">
                  <c:v>56309.0</c:v>
                </c:pt>
                <c:pt idx="329">
                  <c:v>56340.0</c:v>
                </c:pt>
                <c:pt idx="330">
                  <c:v>56370.0</c:v>
                </c:pt>
                <c:pt idx="331">
                  <c:v>56401.0</c:v>
                </c:pt>
                <c:pt idx="332">
                  <c:v>56431.0</c:v>
                </c:pt>
                <c:pt idx="333">
                  <c:v>56462.0</c:v>
                </c:pt>
                <c:pt idx="334">
                  <c:v>56493.0</c:v>
                </c:pt>
                <c:pt idx="335">
                  <c:v>56523.0</c:v>
                </c:pt>
                <c:pt idx="336">
                  <c:v>56554.0</c:v>
                </c:pt>
                <c:pt idx="337">
                  <c:v>56584.0</c:v>
                </c:pt>
                <c:pt idx="338">
                  <c:v>56615.0</c:v>
                </c:pt>
                <c:pt idx="339">
                  <c:v>56646.0</c:v>
                </c:pt>
                <c:pt idx="340">
                  <c:v>56674.0</c:v>
                </c:pt>
                <c:pt idx="341">
                  <c:v>56705.0</c:v>
                </c:pt>
                <c:pt idx="342">
                  <c:v>56735.0</c:v>
                </c:pt>
                <c:pt idx="343">
                  <c:v>56766.0</c:v>
                </c:pt>
                <c:pt idx="344">
                  <c:v>56796.0</c:v>
                </c:pt>
                <c:pt idx="345">
                  <c:v>56827.0</c:v>
                </c:pt>
                <c:pt idx="346">
                  <c:v>56858.0</c:v>
                </c:pt>
                <c:pt idx="347">
                  <c:v>56888.0</c:v>
                </c:pt>
                <c:pt idx="348">
                  <c:v>56919.0</c:v>
                </c:pt>
                <c:pt idx="349">
                  <c:v>56949.0</c:v>
                </c:pt>
                <c:pt idx="350">
                  <c:v>56980.0</c:v>
                </c:pt>
                <c:pt idx="351">
                  <c:v>57011.0</c:v>
                </c:pt>
                <c:pt idx="352">
                  <c:v>57040.0</c:v>
                </c:pt>
                <c:pt idx="353">
                  <c:v>57071.0</c:v>
                </c:pt>
                <c:pt idx="354">
                  <c:v>57101.0</c:v>
                </c:pt>
                <c:pt idx="355">
                  <c:v>57132.0</c:v>
                </c:pt>
                <c:pt idx="356">
                  <c:v>57162.0</c:v>
                </c:pt>
                <c:pt idx="357">
                  <c:v>57193.0</c:v>
                </c:pt>
                <c:pt idx="358">
                  <c:v>57224.0</c:v>
                </c:pt>
                <c:pt idx="359">
                  <c:v>57254.0</c:v>
                </c:pt>
                <c:pt idx="360">
                  <c:v>57285.0</c:v>
                </c:pt>
                <c:pt idx="361">
                  <c:v>57315.0</c:v>
                </c:pt>
                <c:pt idx="362">
                  <c:v>57346.0</c:v>
                </c:pt>
                <c:pt idx="363">
                  <c:v>57377.0</c:v>
                </c:pt>
                <c:pt idx="364">
                  <c:v>57405.0</c:v>
                </c:pt>
                <c:pt idx="365">
                  <c:v>57436.0</c:v>
                </c:pt>
                <c:pt idx="366">
                  <c:v>57466.0</c:v>
                </c:pt>
                <c:pt idx="367">
                  <c:v>57497.0</c:v>
                </c:pt>
                <c:pt idx="368">
                  <c:v>57527.0</c:v>
                </c:pt>
                <c:pt idx="369">
                  <c:v>57558.0</c:v>
                </c:pt>
                <c:pt idx="370">
                  <c:v>57589.0</c:v>
                </c:pt>
                <c:pt idx="371">
                  <c:v>57619.0</c:v>
                </c:pt>
                <c:pt idx="372">
                  <c:v>57650.0</c:v>
                </c:pt>
                <c:pt idx="373">
                  <c:v>57680.0</c:v>
                </c:pt>
                <c:pt idx="374">
                  <c:v>57711.0</c:v>
                </c:pt>
                <c:pt idx="375">
                  <c:v>57742.0</c:v>
                </c:pt>
                <c:pt idx="376">
                  <c:v>57770.0</c:v>
                </c:pt>
                <c:pt idx="377">
                  <c:v>57801.0</c:v>
                </c:pt>
                <c:pt idx="378">
                  <c:v>57831.0</c:v>
                </c:pt>
                <c:pt idx="379">
                  <c:v>57862.0</c:v>
                </c:pt>
                <c:pt idx="380">
                  <c:v>57892.0</c:v>
                </c:pt>
                <c:pt idx="381">
                  <c:v>57923.0</c:v>
                </c:pt>
                <c:pt idx="382">
                  <c:v>57954.0</c:v>
                </c:pt>
                <c:pt idx="383">
                  <c:v>57984.0</c:v>
                </c:pt>
                <c:pt idx="384">
                  <c:v>58015.0</c:v>
                </c:pt>
                <c:pt idx="385">
                  <c:v>58045.0</c:v>
                </c:pt>
                <c:pt idx="386">
                  <c:v>58076.0</c:v>
                </c:pt>
                <c:pt idx="387">
                  <c:v>58107.0</c:v>
                </c:pt>
                <c:pt idx="388">
                  <c:v>58135.0</c:v>
                </c:pt>
                <c:pt idx="389">
                  <c:v>58166.0</c:v>
                </c:pt>
                <c:pt idx="390">
                  <c:v>58196.0</c:v>
                </c:pt>
                <c:pt idx="391">
                  <c:v>58227.0</c:v>
                </c:pt>
                <c:pt idx="392">
                  <c:v>58257.0</c:v>
                </c:pt>
                <c:pt idx="393">
                  <c:v>58288.0</c:v>
                </c:pt>
                <c:pt idx="394">
                  <c:v>58319.0</c:v>
                </c:pt>
                <c:pt idx="395">
                  <c:v>58349.0</c:v>
                </c:pt>
                <c:pt idx="396">
                  <c:v>58380.0</c:v>
                </c:pt>
                <c:pt idx="397">
                  <c:v>58410.0</c:v>
                </c:pt>
                <c:pt idx="398">
                  <c:v>58441.0</c:v>
                </c:pt>
                <c:pt idx="399">
                  <c:v>58472.0</c:v>
                </c:pt>
                <c:pt idx="400">
                  <c:v>58501.0</c:v>
                </c:pt>
                <c:pt idx="401">
                  <c:v>58532.0</c:v>
                </c:pt>
                <c:pt idx="402">
                  <c:v>58562.0</c:v>
                </c:pt>
                <c:pt idx="403">
                  <c:v>58593.0</c:v>
                </c:pt>
                <c:pt idx="404">
                  <c:v>58623.0</c:v>
                </c:pt>
                <c:pt idx="405">
                  <c:v>58654.0</c:v>
                </c:pt>
                <c:pt idx="406">
                  <c:v>58685.0</c:v>
                </c:pt>
                <c:pt idx="407">
                  <c:v>58715.0</c:v>
                </c:pt>
                <c:pt idx="408">
                  <c:v>58746.0</c:v>
                </c:pt>
                <c:pt idx="409">
                  <c:v>58776.0</c:v>
                </c:pt>
                <c:pt idx="410">
                  <c:v>58807.0</c:v>
                </c:pt>
                <c:pt idx="411">
                  <c:v>58838.0</c:v>
                </c:pt>
                <c:pt idx="412">
                  <c:v>58866.0</c:v>
                </c:pt>
                <c:pt idx="413">
                  <c:v>58897.0</c:v>
                </c:pt>
                <c:pt idx="414">
                  <c:v>58927.0</c:v>
                </c:pt>
                <c:pt idx="415">
                  <c:v>58958.0</c:v>
                </c:pt>
                <c:pt idx="416">
                  <c:v>58988.0</c:v>
                </c:pt>
                <c:pt idx="417">
                  <c:v>59019.0</c:v>
                </c:pt>
                <c:pt idx="418">
                  <c:v>59050.0</c:v>
                </c:pt>
                <c:pt idx="419">
                  <c:v>59080.0</c:v>
                </c:pt>
                <c:pt idx="420">
                  <c:v>59111.0</c:v>
                </c:pt>
                <c:pt idx="421">
                  <c:v>59141.0</c:v>
                </c:pt>
                <c:pt idx="422">
                  <c:v>59172.0</c:v>
                </c:pt>
                <c:pt idx="423">
                  <c:v>59203.0</c:v>
                </c:pt>
                <c:pt idx="424">
                  <c:v>59231.0</c:v>
                </c:pt>
                <c:pt idx="425">
                  <c:v>59262.0</c:v>
                </c:pt>
                <c:pt idx="426">
                  <c:v>59292.0</c:v>
                </c:pt>
                <c:pt idx="427">
                  <c:v>59323.0</c:v>
                </c:pt>
                <c:pt idx="428">
                  <c:v>59353.0</c:v>
                </c:pt>
                <c:pt idx="429">
                  <c:v>59384.0</c:v>
                </c:pt>
                <c:pt idx="430">
                  <c:v>59415.0</c:v>
                </c:pt>
                <c:pt idx="431">
                  <c:v>59445.0</c:v>
                </c:pt>
                <c:pt idx="432">
                  <c:v>59476.0</c:v>
                </c:pt>
                <c:pt idx="433">
                  <c:v>59506.0</c:v>
                </c:pt>
                <c:pt idx="434">
                  <c:v>59537.0</c:v>
                </c:pt>
                <c:pt idx="435">
                  <c:v>59568.0</c:v>
                </c:pt>
                <c:pt idx="436">
                  <c:v>59596.0</c:v>
                </c:pt>
                <c:pt idx="437">
                  <c:v>59627.0</c:v>
                </c:pt>
                <c:pt idx="438">
                  <c:v>59657.0</c:v>
                </c:pt>
                <c:pt idx="439">
                  <c:v>59688.0</c:v>
                </c:pt>
                <c:pt idx="440">
                  <c:v>59718.0</c:v>
                </c:pt>
                <c:pt idx="441">
                  <c:v>59749.0</c:v>
                </c:pt>
                <c:pt idx="442">
                  <c:v>59780.0</c:v>
                </c:pt>
                <c:pt idx="443">
                  <c:v>59810.0</c:v>
                </c:pt>
                <c:pt idx="444">
                  <c:v>59841.0</c:v>
                </c:pt>
                <c:pt idx="445">
                  <c:v>59871.0</c:v>
                </c:pt>
                <c:pt idx="446">
                  <c:v>59902.0</c:v>
                </c:pt>
                <c:pt idx="447">
                  <c:v>59933.0</c:v>
                </c:pt>
                <c:pt idx="448">
                  <c:v>59962.0</c:v>
                </c:pt>
                <c:pt idx="449">
                  <c:v>59993.0</c:v>
                </c:pt>
                <c:pt idx="450">
                  <c:v>60023.0</c:v>
                </c:pt>
                <c:pt idx="451">
                  <c:v>60054.0</c:v>
                </c:pt>
                <c:pt idx="452">
                  <c:v>60084.0</c:v>
                </c:pt>
                <c:pt idx="453">
                  <c:v>60115.0</c:v>
                </c:pt>
                <c:pt idx="454">
                  <c:v>60146.0</c:v>
                </c:pt>
                <c:pt idx="455">
                  <c:v>60176.0</c:v>
                </c:pt>
                <c:pt idx="456">
                  <c:v>60207.0</c:v>
                </c:pt>
                <c:pt idx="457">
                  <c:v>60237.0</c:v>
                </c:pt>
                <c:pt idx="458">
                  <c:v>60268.0</c:v>
                </c:pt>
                <c:pt idx="459">
                  <c:v>60299.0</c:v>
                </c:pt>
                <c:pt idx="460">
                  <c:v>60327.0</c:v>
                </c:pt>
                <c:pt idx="461">
                  <c:v>60358.0</c:v>
                </c:pt>
                <c:pt idx="462">
                  <c:v>60388.0</c:v>
                </c:pt>
                <c:pt idx="463">
                  <c:v>60419.0</c:v>
                </c:pt>
                <c:pt idx="464">
                  <c:v>60449.0</c:v>
                </c:pt>
                <c:pt idx="465">
                  <c:v>60480.0</c:v>
                </c:pt>
                <c:pt idx="466">
                  <c:v>60511.0</c:v>
                </c:pt>
                <c:pt idx="467">
                  <c:v>60541.0</c:v>
                </c:pt>
                <c:pt idx="468">
                  <c:v>60572.0</c:v>
                </c:pt>
                <c:pt idx="469">
                  <c:v>60602.0</c:v>
                </c:pt>
                <c:pt idx="470">
                  <c:v>60633.0</c:v>
                </c:pt>
                <c:pt idx="471">
                  <c:v>60664.0</c:v>
                </c:pt>
                <c:pt idx="472">
                  <c:v>60692.0</c:v>
                </c:pt>
                <c:pt idx="473">
                  <c:v>60723.0</c:v>
                </c:pt>
                <c:pt idx="474">
                  <c:v>60753.0</c:v>
                </c:pt>
                <c:pt idx="475">
                  <c:v>60784.0</c:v>
                </c:pt>
                <c:pt idx="476">
                  <c:v>60814.0</c:v>
                </c:pt>
                <c:pt idx="477">
                  <c:v>60845.0</c:v>
                </c:pt>
                <c:pt idx="478">
                  <c:v>60876.0</c:v>
                </c:pt>
                <c:pt idx="479">
                  <c:v>60906.0</c:v>
                </c:pt>
              </c:numCache>
            </c:numRef>
          </c:cat>
          <c:val>
            <c:numRef>
              <c:f>Cuadro!$R$6:$R$485</c:f>
              <c:numCache>
                <c:formatCode>General</c:formatCode>
                <c:ptCount val="480"/>
                <c:pt idx="0">
                  <c:v>179691.112739287</c:v>
                </c:pt>
                <c:pt idx="1">
                  <c:v>179381.4532604222</c:v>
                </c:pt>
                <c:pt idx="2">
                  <c:v>179071.01963286023</c:v>
                </c:pt>
                <c:pt idx="3">
                  <c:v>178759.80992122937</c:v>
                </c:pt>
                <c:pt idx="4">
                  <c:v>178447.82218531944</c:v>
                </c:pt>
                <c:pt idx="5">
                  <c:v>178135.05448006972</c:v>
                </c:pt>
                <c:pt idx="6">
                  <c:v>177821.50485555688</c:v>
                </c:pt>
                <c:pt idx="7">
                  <c:v>177507.17135698276</c:v>
                </c:pt>
                <c:pt idx="8">
                  <c:v>177192.0520246622</c:v>
                </c:pt>
                <c:pt idx="9">
                  <c:v>176876.14489401085</c:v>
                </c:pt>
                <c:pt idx="10">
                  <c:v>176559.44799553286</c:v>
                </c:pt>
                <c:pt idx="11">
                  <c:v>176241.95935480867</c:v>
                </c:pt>
                <c:pt idx="12">
                  <c:v>175902.1534437294</c:v>
                </c:pt>
                <c:pt idx="13">
                  <c:v>175561.61128650943</c:v>
                </c:pt>
                <c:pt idx="14">
                  <c:v>175220.33128794882</c:v>
                </c:pt>
                <c:pt idx="15">
                  <c:v>174878.31184939135</c:v>
                </c:pt>
                <c:pt idx="16">
                  <c:v>174535.551368717</c:v>
                </c:pt>
                <c:pt idx="17">
                  <c:v>174192.0482403345</c:v>
                </c:pt>
                <c:pt idx="18">
                  <c:v>173847.80085517385</c:v>
                </c:pt>
                <c:pt idx="19">
                  <c:v>173502.8076006787</c:v>
                </c:pt>
                <c:pt idx="20">
                  <c:v>173157.0668607988</c:v>
                </c:pt>
                <c:pt idx="21">
                  <c:v>172810.5770159825</c:v>
                </c:pt>
                <c:pt idx="22">
                  <c:v>172463.3364431691</c:v>
                </c:pt>
                <c:pt idx="23">
                  <c:v>172115.34351578128</c:v>
                </c:pt>
                <c:pt idx="24">
                  <c:v>171782.64120198897</c:v>
                </c:pt>
                <c:pt idx="25">
                  <c:v>171449.13485760498</c:v>
                </c:pt>
                <c:pt idx="26">
                  <c:v>171114.8225395554</c:v>
                </c:pt>
                <c:pt idx="27">
                  <c:v>170779.70230007055</c:v>
                </c:pt>
                <c:pt idx="28">
                  <c:v>170443.7721866736</c:v>
                </c:pt>
                <c:pt idx="29">
                  <c:v>170107.03024216928</c:v>
                </c:pt>
                <c:pt idx="30">
                  <c:v>169769.47450463238</c:v>
                </c:pt>
                <c:pt idx="31">
                  <c:v>169431.10300739645</c:v>
                </c:pt>
                <c:pt idx="32">
                  <c:v>169091.9137790422</c:v>
                </c:pt>
                <c:pt idx="33">
                  <c:v>168751.9048433861</c:v>
                </c:pt>
                <c:pt idx="34">
                  <c:v>168411.0742194688</c:v>
                </c:pt>
                <c:pt idx="35">
                  <c:v>168069.41992154374</c:v>
                </c:pt>
                <c:pt idx="36">
                  <c:v>167726.93995906535</c:v>
                </c:pt>
                <c:pt idx="37">
                  <c:v>167383.63233667763</c:v>
                </c:pt>
                <c:pt idx="38">
                  <c:v>167039.49505420247</c:v>
                </c:pt>
                <c:pt idx="39">
                  <c:v>166694.526106628</c:v>
                </c:pt>
                <c:pt idx="40">
                  <c:v>166348.7234840969</c:v>
                </c:pt>
                <c:pt idx="41">
                  <c:v>166002.0851718947</c:v>
                </c:pt>
                <c:pt idx="42">
                  <c:v>165654.609150438</c:v>
                </c:pt>
                <c:pt idx="43">
                  <c:v>165306.29339526276</c:v>
                </c:pt>
                <c:pt idx="44">
                  <c:v>164957.13587701254</c:v>
                </c:pt>
                <c:pt idx="45">
                  <c:v>164607.13456142653</c:v>
                </c:pt>
                <c:pt idx="46">
                  <c:v>164256.28740932787</c:v>
                </c:pt>
                <c:pt idx="47">
                  <c:v>163904.59237661163</c:v>
                </c:pt>
                <c:pt idx="48">
                  <c:v>163552.04741423298</c:v>
                </c:pt>
                <c:pt idx="49">
                  <c:v>163198.65046819524</c:v>
                </c:pt>
                <c:pt idx="50">
                  <c:v>162844.3994795379</c:v>
                </c:pt>
                <c:pt idx="51">
                  <c:v>162489.29238432468</c:v>
                </c:pt>
                <c:pt idx="52">
                  <c:v>162133.32711363136</c:v>
                </c:pt>
                <c:pt idx="53">
                  <c:v>161776.50159353385</c:v>
                </c:pt>
                <c:pt idx="54">
                  <c:v>161418.8137450961</c:v>
                </c:pt>
                <c:pt idx="55">
                  <c:v>161060.26148435796</c:v>
                </c:pt>
                <c:pt idx="56">
                  <c:v>160700.84272232305</c:v>
                </c:pt>
                <c:pt idx="57">
                  <c:v>160340.55536494654</c:v>
                </c:pt>
                <c:pt idx="58">
                  <c:v>159979.39731312305</c:v>
                </c:pt>
                <c:pt idx="59">
                  <c:v>159617.3664626743</c:v>
                </c:pt>
                <c:pt idx="60">
                  <c:v>159254.460704337</c:v>
                </c:pt>
                <c:pt idx="61">
                  <c:v>158890.67792375034</c:v>
                </c:pt>
                <c:pt idx="62">
                  <c:v>158526.01600144393</c:v>
                </c:pt>
                <c:pt idx="63">
                  <c:v>158160.4728128253</c:v>
                </c:pt>
                <c:pt idx="64">
                  <c:v>157794.04622816748</c:v>
                </c:pt>
                <c:pt idx="65">
                  <c:v>157426.73411259678</c:v>
                </c:pt>
                <c:pt idx="66">
                  <c:v>157058.5343260801</c:v>
                </c:pt>
                <c:pt idx="67">
                  <c:v>156689.44472341266</c:v>
                </c:pt>
                <c:pt idx="68">
                  <c:v>156319.46315420544</c:v>
                </c:pt>
                <c:pt idx="69">
                  <c:v>155948.58746287265</c:v>
                </c:pt>
                <c:pt idx="70">
                  <c:v>155576.81548861912</c:v>
                </c:pt>
                <c:pt idx="71">
                  <c:v>155204.14506542782</c:v>
                </c:pt>
                <c:pt idx="72">
                  <c:v>154830.57402204713</c:v>
                </c:pt>
                <c:pt idx="73">
                  <c:v>154456.10018197828</c:v>
                </c:pt>
                <c:pt idx="74">
                  <c:v>154080.7213634626</c:v>
                </c:pt>
                <c:pt idx="75">
                  <c:v>153704.43537946884</c:v>
                </c:pt>
                <c:pt idx="76">
                  <c:v>153327.24003768043</c:v>
                </c:pt>
                <c:pt idx="77">
                  <c:v>152949.1331404827</c:v>
                </c:pt>
                <c:pt idx="78">
                  <c:v>152570.11248495008</c:v>
                </c:pt>
                <c:pt idx="79">
                  <c:v>152190.17586283325</c:v>
                </c:pt>
                <c:pt idx="80">
                  <c:v>151809.3210605463</c:v>
                </c:pt>
                <c:pt idx="81">
                  <c:v>151427.54585915382</c:v>
                </c:pt>
                <c:pt idx="82">
                  <c:v>151044.84803435797</c:v>
                </c:pt>
                <c:pt idx="83">
                  <c:v>150661.22535648555</c:v>
                </c:pt>
                <c:pt idx="84">
                  <c:v>150276.67559047494</c:v>
                </c:pt>
                <c:pt idx="85">
                  <c:v>149891.19649586314</c:v>
                </c:pt>
                <c:pt idx="86">
                  <c:v>149504.78582677268</c:v>
                </c:pt>
                <c:pt idx="87">
                  <c:v>149117.4413318986</c:v>
                </c:pt>
                <c:pt idx="88">
                  <c:v>148729.1607544952</c:v>
                </c:pt>
                <c:pt idx="89">
                  <c:v>148339.9418323631</c:v>
                </c:pt>
                <c:pt idx="90">
                  <c:v>147949.78229783586</c:v>
                </c:pt>
                <c:pt idx="91">
                  <c:v>147558.67987776684</c:v>
                </c:pt>
                <c:pt idx="92">
                  <c:v>147166.63229351598</c:v>
                </c:pt>
                <c:pt idx="93">
                  <c:v>146773.63726093652</c:v>
                </c:pt>
                <c:pt idx="94">
                  <c:v>146379.69249036166</c:v>
                </c:pt>
                <c:pt idx="95">
                  <c:v>145984.79568659124</c:v>
                </c:pt>
                <c:pt idx="96">
                  <c:v>145588.94454887838</c:v>
                </c:pt>
                <c:pt idx="97">
                  <c:v>145192.13677091605</c:v>
                </c:pt>
                <c:pt idx="98">
                  <c:v>144794.37004082365</c:v>
                </c:pt>
                <c:pt idx="99">
                  <c:v>144395.6420411335</c:v>
                </c:pt>
                <c:pt idx="100">
                  <c:v>143995.95044877747</c:v>
                </c:pt>
                <c:pt idx="101">
                  <c:v>143595.29293507323</c:v>
                </c:pt>
                <c:pt idx="102">
                  <c:v>143193.66716571085</c:v>
                </c:pt>
                <c:pt idx="103">
                  <c:v>142791.0708007392</c:v>
                </c:pt>
                <c:pt idx="104">
                  <c:v>142387.50149455218</c:v>
                </c:pt>
                <c:pt idx="105">
                  <c:v>141982.95689587522</c:v>
                </c:pt>
                <c:pt idx="106">
                  <c:v>141577.43464775145</c:v>
                </c:pt>
                <c:pt idx="107">
                  <c:v>141170.93238752807</c:v>
                </c:pt>
                <c:pt idx="108">
                  <c:v>140763.44774684246</c:v>
                </c:pt>
                <c:pt idx="109">
                  <c:v>140354.97835160853</c:v>
                </c:pt>
                <c:pt idx="110">
                  <c:v>139945.5218220028</c:v>
                </c:pt>
                <c:pt idx="111">
                  <c:v>139535.0757724505</c:v>
                </c:pt>
                <c:pt idx="112">
                  <c:v>139123.6378116118</c:v>
                </c:pt>
                <c:pt idx="113">
                  <c:v>138711.20554236777</c:v>
                </c:pt>
                <c:pt idx="114">
                  <c:v>138297.77656180636</c:v>
                </c:pt>
                <c:pt idx="115">
                  <c:v>137883.3484612086</c:v>
                </c:pt>
                <c:pt idx="116">
                  <c:v>137467.9188260344</c:v>
                </c:pt>
                <c:pt idx="117">
                  <c:v>137051.48523590853</c:v>
                </c:pt>
                <c:pt idx="118">
                  <c:v>136634.0452646065</c:v>
                </c:pt>
                <c:pt idx="119">
                  <c:v>136215.59648004052</c:v>
                </c:pt>
                <c:pt idx="120">
                  <c:v>135796.13644424517</c:v>
                </c:pt>
                <c:pt idx="121">
                  <c:v>135375.6627133633</c:v>
                </c:pt>
                <c:pt idx="122">
                  <c:v>134954.1728376318</c:v>
                </c:pt>
                <c:pt idx="123">
                  <c:v>134531.6643613673</c:v>
                </c:pt>
                <c:pt idx="124">
                  <c:v>134108.1348229518</c:v>
                </c:pt>
                <c:pt idx="125">
                  <c:v>133683.58175481847</c:v>
                </c:pt>
                <c:pt idx="126">
                  <c:v>133258.00268343717</c:v>
                </c:pt>
                <c:pt idx="127">
                  <c:v>132831.3951293</c:v>
                </c:pt>
                <c:pt idx="128">
                  <c:v>132403.75660690703</c:v>
                </c:pt>
                <c:pt idx="129">
                  <c:v>131975.0846247516</c:v>
                </c:pt>
                <c:pt idx="130">
                  <c:v>131545.37668530594</c:v>
                </c:pt>
                <c:pt idx="131">
                  <c:v>131114.63028500663</c:v>
                </c:pt>
                <c:pt idx="132">
                  <c:v>130682.84291423994</c:v>
                </c:pt>
                <c:pt idx="133">
                  <c:v>130250.01205732723</c:v>
                </c:pt>
                <c:pt idx="134">
                  <c:v>129816.13519251031</c:v>
                </c:pt>
                <c:pt idx="135">
                  <c:v>129381.20979193675</c:v>
                </c:pt>
                <c:pt idx="136">
                  <c:v>128945.23332164514</c:v>
                </c:pt>
                <c:pt idx="137">
                  <c:v>128508.20324155032</c:v>
                </c:pt>
                <c:pt idx="138">
                  <c:v>128070.1170054286</c:v>
                </c:pt>
                <c:pt idx="139">
                  <c:v>127630.97206090293</c:v>
                </c:pt>
                <c:pt idx="140">
                  <c:v>127190.76584942799</c:v>
                </c:pt>
                <c:pt idx="141">
                  <c:v>126749.49580627531</c:v>
                </c:pt>
                <c:pt idx="142">
                  <c:v>126307.15936051836</c:v>
                </c:pt>
                <c:pt idx="143">
                  <c:v>125863.75393501749</c:v>
                </c:pt>
                <c:pt idx="144">
                  <c:v>125419.27694640499</c:v>
                </c:pt>
                <c:pt idx="145">
                  <c:v>124973.72580507002</c:v>
                </c:pt>
                <c:pt idx="146">
                  <c:v>124527.09791514349</c:v>
                </c:pt>
                <c:pt idx="147">
                  <c:v>124079.39067448296</c:v>
                </c:pt>
                <c:pt idx="148">
                  <c:v>123630.6014746575</c:v>
                </c:pt>
                <c:pt idx="149">
                  <c:v>123180.72770093246</c:v>
                </c:pt>
                <c:pt idx="150">
                  <c:v>122729.76673225425</c:v>
                </c:pt>
                <c:pt idx="151">
                  <c:v>122277.71594123507</c:v>
                </c:pt>
                <c:pt idx="152">
                  <c:v>121824.5726941376</c:v>
                </c:pt>
                <c:pt idx="153">
                  <c:v>121370.33435085964</c:v>
                </c:pt>
                <c:pt idx="154">
                  <c:v>120914.99826491876</c:v>
                </c:pt>
                <c:pt idx="155">
                  <c:v>120458.56178343686</c:v>
                </c:pt>
                <c:pt idx="156">
                  <c:v>120001.02224712471</c:v>
                </c:pt>
                <c:pt idx="157">
                  <c:v>119542.37699026646</c:v>
                </c:pt>
                <c:pt idx="158">
                  <c:v>119082.62334070416</c:v>
                </c:pt>
                <c:pt idx="159">
                  <c:v>118621.75861982207</c:v>
                </c:pt>
                <c:pt idx="160">
                  <c:v>118159.78014253118</c:v>
                </c:pt>
                <c:pt idx="161">
                  <c:v>117696.6852172535</c:v>
                </c:pt>
                <c:pt idx="162">
                  <c:v>117232.4711459064</c:v>
                </c:pt>
                <c:pt idx="163">
                  <c:v>116767.13522388689</c:v>
                </c:pt>
                <c:pt idx="164">
                  <c:v>116300.67474005582</c:v>
                </c:pt>
                <c:pt idx="165">
                  <c:v>115833.08697672217</c:v>
                </c:pt>
                <c:pt idx="166">
                  <c:v>115364.36920962713</c:v>
                </c:pt>
                <c:pt idx="167">
                  <c:v>114894.51870792826</c:v>
                </c:pt>
                <c:pt idx="168">
                  <c:v>114423.53273418364</c:v>
                </c:pt>
                <c:pt idx="169">
                  <c:v>113951.40854433579</c:v>
                </c:pt>
                <c:pt idx="170">
                  <c:v>113478.14338769582</c:v>
                </c:pt>
                <c:pt idx="171">
                  <c:v>113003.7345069273</c:v>
                </c:pt>
                <c:pt idx="172">
                  <c:v>112528.17913803025</c:v>
                </c:pt>
                <c:pt idx="173">
                  <c:v>112051.47451032503</c:v>
                </c:pt>
                <c:pt idx="174">
                  <c:v>111573.61784643619</c:v>
                </c:pt>
                <c:pt idx="175">
                  <c:v>111094.60636227629</c:v>
                </c:pt>
                <c:pt idx="176">
                  <c:v>110614.43726702967</c:v>
                </c:pt>
                <c:pt idx="177">
                  <c:v>110133.1077631362</c:v>
                </c:pt>
                <c:pt idx="178">
                  <c:v>109650.615046275</c:v>
                </c:pt>
                <c:pt idx="179">
                  <c:v>109166.95630534804</c:v>
                </c:pt>
                <c:pt idx="180">
                  <c:v>108682.12872246384</c:v>
                </c:pt>
                <c:pt idx="181">
                  <c:v>108196.129472921</c:v>
                </c:pt>
                <c:pt idx="182">
                  <c:v>107708.95572519177</c:v>
                </c:pt>
                <c:pt idx="183">
                  <c:v>107220.60464090553</c:v>
                </c:pt>
                <c:pt idx="184">
                  <c:v>106731.07337483225</c:v>
                </c:pt>
                <c:pt idx="185">
                  <c:v>106240.35907486598</c:v>
                </c:pt>
                <c:pt idx="186">
                  <c:v>105748.45888200811</c:v>
                </c:pt>
                <c:pt idx="187">
                  <c:v>105255.36993035085</c:v>
                </c:pt>
                <c:pt idx="188">
                  <c:v>104761.0893470604</c:v>
                </c:pt>
                <c:pt idx="189">
                  <c:v>104265.61425236035</c:v>
                </c:pt>
                <c:pt idx="190">
                  <c:v>103768.94175951477</c:v>
                </c:pt>
                <c:pt idx="191">
                  <c:v>103271.06897481147</c:v>
                </c:pt>
                <c:pt idx="192">
                  <c:v>102771.99299754514</c:v>
                </c:pt>
                <c:pt idx="193">
                  <c:v>102271.71092000042</c:v>
                </c:pt>
                <c:pt idx="194">
                  <c:v>101770.21982743496</c:v>
                </c:pt>
                <c:pt idx="195">
                  <c:v>101267.51679806248</c:v>
                </c:pt>
                <c:pt idx="196">
                  <c:v>100763.59890303567</c:v>
                </c:pt>
                <c:pt idx="197">
                  <c:v>100258.46320642922</c:v>
                </c:pt>
                <c:pt idx="198">
                  <c:v>99752.10676522263</c:v>
                </c:pt>
                <c:pt idx="199">
                  <c:v>99244.52662928314</c:v>
                </c:pt>
                <c:pt idx="200">
                  <c:v>98735.71984134844</c:v>
                </c:pt>
                <c:pt idx="201">
                  <c:v>98225.68343700957</c:v>
                </c:pt>
                <c:pt idx="202">
                  <c:v>97714.41444469355</c:v>
                </c:pt>
                <c:pt idx="203">
                  <c:v>97201.9098856461</c:v>
                </c:pt>
                <c:pt idx="204">
                  <c:v>96688.16677391429</c:v>
                </c:pt>
                <c:pt idx="205">
                  <c:v>96173.18211632912</c:v>
                </c:pt>
                <c:pt idx="206">
                  <c:v>95656.95291248812</c:v>
                </c:pt>
                <c:pt idx="207">
                  <c:v>95139.47615473784</c:v>
                </c:pt>
                <c:pt idx="208">
                  <c:v>94620.74882815634</c:v>
                </c:pt>
                <c:pt idx="209">
                  <c:v>94100.7679105356</c:v>
                </c:pt>
                <c:pt idx="210">
                  <c:v>93579.53037236394</c:v>
                </c:pt>
                <c:pt idx="211">
                  <c:v>93057.03317680836</c:v>
                </c:pt>
                <c:pt idx="212">
                  <c:v>92533.27327969685</c:v>
                </c:pt>
                <c:pt idx="213">
                  <c:v>92008.24762950066</c:v>
                </c:pt>
                <c:pt idx="214">
                  <c:v>91481.9531673165</c:v>
                </c:pt>
                <c:pt idx="215">
                  <c:v>90954.38682684873</c:v>
                </c:pt>
                <c:pt idx="216">
                  <c:v>90425.5455343915</c:v>
                </c:pt>
                <c:pt idx="217">
                  <c:v>89895.42620881082</c:v>
                </c:pt>
                <c:pt idx="218">
                  <c:v>89364.02576152666</c:v>
                </c:pt>
                <c:pt idx="219">
                  <c:v>88831.34109649489</c:v>
                </c:pt>
                <c:pt idx="220">
                  <c:v>88297.36911018929</c:v>
                </c:pt>
                <c:pt idx="221">
                  <c:v>87762.10669158345</c:v>
                </c:pt>
                <c:pt idx="222">
                  <c:v>87225.55072213266</c:v>
                </c:pt>
                <c:pt idx="223">
                  <c:v>86687.69807575569</c:v>
                </c:pt>
                <c:pt idx="224">
                  <c:v>86148.54561881664</c:v>
                </c:pt>
                <c:pt idx="225">
                  <c:v>85608.09021010666</c:v>
                </c:pt>
                <c:pt idx="226">
                  <c:v>85066.32870082563</c:v>
                </c:pt>
                <c:pt idx="227">
                  <c:v>84523.25793456384</c:v>
                </c:pt>
                <c:pt idx="228">
                  <c:v>83978.87474728358</c:v>
                </c:pt>
                <c:pt idx="229">
                  <c:v>83433.17596730073</c:v>
                </c:pt>
                <c:pt idx="230">
                  <c:v>82886.15841526625</c:v>
                </c:pt>
                <c:pt idx="231">
                  <c:v>82337.81890414769</c:v>
                </c:pt>
                <c:pt idx="232">
                  <c:v>81788.15423921059</c:v>
                </c:pt>
                <c:pt idx="233">
                  <c:v>81237.16121799989</c:v>
                </c:pt>
                <c:pt idx="234">
                  <c:v>80684.83663032127</c:v>
                </c:pt>
                <c:pt idx="235">
                  <c:v>80131.17725822242</c:v>
                </c:pt>
                <c:pt idx="236">
                  <c:v>79576.17987597434</c:v>
                </c:pt>
                <c:pt idx="237">
                  <c:v>79019.84125005249</c:v>
                </c:pt>
                <c:pt idx="238">
                  <c:v>78462.158139118</c:v>
                </c:pt>
                <c:pt idx="239">
                  <c:v>77903.12729399874</c:v>
                </c:pt>
                <c:pt idx="240">
                  <c:v>77342.74545767045</c:v>
                </c:pt>
                <c:pt idx="241">
                  <c:v>76781.0093652377</c:v>
                </c:pt>
                <c:pt idx="242">
                  <c:v>76217.9157439149</c:v>
                </c:pt>
                <c:pt idx="243">
                  <c:v>75653.46131300724</c:v>
                </c:pt>
                <c:pt idx="244">
                  <c:v>75087.64278389156</c:v>
                </c:pt>
                <c:pt idx="245">
                  <c:v>74520.45685999717</c:v>
                </c:pt>
                <c:pt idx="246">
                  <c:v>73951.9002367867</c:v>
                </c:pt>
                <c:pt idx="247">
                  <c:v>73381.96960173681</c:v>
                </c:pt>
                <c:pt idx="248">
                  <c:v>72810.66163431888</c:v>
                </c:pt>
                <c:pt idx="249">
                  <c:v>72237.9730059797</c:v>
                </c:pt>
                <c:pt idx="250">
                  <c:v>71663.90038012202</c:v>
                </c:pt>
                <c:pt idx="251">
                  <c:v>71088.4404120852</c:v>
                </c:pt>
                <c:pt idx="252">
                  <c:v>70511.58974912562</c:v>
                </c:pt>
                <c:pt idx="253">
                  <c:v>69933.34503039722</c:v>
                </c:pt>
                <c:pt idx="254">
                  <c:v>69353.70288693189</c:v>
                </c:pt>
                <c:pt idx="255">
                  <c:v>68772.65994161984</c:v>
                </c:pt>
                <c:pt idx="256">
                  <c:v>68190.21280918996</c:v>
                </c:pt>
                <c:pt idx="257">
                  <c:v>67606.35809619004</c:v>
                </c:pt>
                <c:pt idx="258">
                  <c:v>67021.09240096704</c:v>
                </c:pt>
                <c:pt idx="259">
                  <c:v>66434.41231364725</c:v>
                </c:pt>
                <c:pt idx="260">
                  <c:v>65846.31441611644</c:v>
                </c:pt>
                <c:pt idx="261">
                  <c:v>65256.79528199993</c:v>
                </c:pt>
                <c:pt idx="262">
                  <c:v>64665.85147664264</c:v>
                </c:pt>
                <c:pt idx="263">
                  <c:v>64073.479557089064</c:v>
                </c:pt>
                <c:pt idx="264">
                  <c:v>63479.67607206324</c:v>
                </c:pt>
                <c:pt idx="265">
                  <c:v>62884.4375619486</c:v>
                </c:pt>
                <c:pt idx="266">
                  <c:v>62287.760558767855</c:v>
                </c:pt>
                <c:pt idx="267">
                  <c:v>61689.641586162754</c:v>
                </c:pt>
                <c:pt idx="268">
                  <c:v>61090.077159373854</c:v>
                </c:pt>
                <c:pt idx="269">
                  <c:v>60489.06378522022</c:v>
                </c:pt>
                <c:pt idx="270">
                  <c:v>59886.597962079046</c:v>
                </c:pt>
                <c:pt idx="271">
                  <c:v>59282.67617986528</c:v>
                </c:pt>
                <c:pt idx="272">
                  <c:v>58677.29492001116</c:v>
                </c:pt>
                <c:pt idx="273">
                  <c:v>58070.45065544573</c:v>
                </c:pt>
                <c:pt idx="274">
                  <c:v>57462.13985057427</c:v>
                </c:pt>
                <c:pt idx="275">
                  <c:v>56852.3589612577</c:v>
                </c:pt>
                <c:pt idx="276">
                  <c:v>56241.104434791945</c:v>
                </c:pt>
                <c:pt idx="277">
                  <c:v>55628.37270988723</c:v>
                </c:pt>
                <c:pt idx="278">
                  <c:v>55014.16021664734</c:v>
                </c:pt>
                <c:pt idx="279">
                  <c:v>54398.46337654878</c:v>
                </c:pt>
                <c:pt idx="280">
                  <c:v>53781.27860241998</c:v>
                </c:pt>
                <c:pt idx="281">
                  <c:v>53162.602298420374</c:v>
                </c:pt>
                <c:pt idx="282">
                  <c:v>52542.430860019434</c:v>
                </c:pt>
                <c:pt idx="283">
                  <c:v>51920.76067397569</c:v>
                </c:pt>
                <c:pt idx="284">
                  <c:v>51297.588118315674</c:v>
                </c:pt>
                <c:pt idx="285">
                  <c:v>50672.909562312816</c:v>
                </c:pt>
                <c:pt idx="286">
                  <c:v>50046.721366466285</c:v>
                </c:pt>
                <c:pt idx="287">
                  <c:v>49419.019882479784</c:v>
                </c:pt>
                <c:pt idx="288">
                  <c:v>48789.80145324032</c:v>
                </c:pt>
                <c:pt idx="289">
                  <c:v>48159.062412796855</c:v>
                </c:pt>
                <c:pt idx="290">
                  <c:v>47526.79908633899</c:v>
                </c:pt>
                <c:pt idx="291">
                  <c:v>46893.00779017552</c:v>
                </c:pt>
                <c:pt idx="292">
                  <c:v>46257.68483171299</c:v>
                </c:pt>
                <c:pt idx="293">
                  <c:v>45620.82650943418</c:v>
                </c:pt>
                <c:pt idx="294">
                  <c:v>44982.42911287652</c:v>
                </c:pt>
                <c:pt idx="295">
                  <c:v>44342.488922610515</c:v>
                </c:pt>
                <c:pt idx="296">
                  <c:v>43701.00221021803</c:v>
                </c:pt>
                <c:pt idx="297">
                  <c:v>43057.9652382706</c:v>
                </c:pt>
                <c:pt idx="298">
                  <c:v>42413.374260307624</c:v>
                </c:pt>
                <c:pt idx="299">
                  <c:v>41767.22552081458</c:v>
                </c:pt>
                <c:pt idx="300">
                  <c:v>41119.51525520109</c:v>
                </c:pt>
                <c:pt idx="301">
                  <c:v>40470.23968977904</c:v>
                </c:pt>
                <c:pt idx="302">
                  <c:v>39819.39504174055</c:v>
                </c:pt>
                <c:pt idx="303">
                  <c:v>39166.977519135966</c:v>
                </c:pt>
                <c:pt idx="304">
                  <c:v>38512.98332085175</c:v>
                </c:pt>
                <c:pt idx="305">
                  <c:v>37857.408636588356</c:v>
                </c:pt>
                <c:pt idx="306">
                  <c:v>37200.24964683799</c:v>
                </c:pt>
                <c:pt idx="307">
                  <c:v>36541.50252286239</c:v>
                </c:pt>
                <c:pt idx="308">
                  <c:v>35881.16342667052</c:v>
                </c:pt>
                <c:pt idx="309">
                  <c:v>35219.22851099619</c:v>
                </c:pt>
                <c:pt idx="310">
                  <c:v>34555.69391927564</c:v>
                </c:pt>
                <c:pt idx="311">
                  <c:v>33890.555785625096</c:v>
                </c:pt>
                <c:pt idx="312">
                  <c:v>33223.81023481824</c:v>
                </c:pt>
                <c:pt idx="313">
                  <c:v>32555.45338226359</c:v>
                </c:pt>
                <c:pt idx="314">
                  <c:v>31885.481333981937</c:v>
                </c:pt>
                <c:pt idx="315">
                  <c:v>31213.890186583605</c:v>
                </c:pt>
                <c:pt idx="316">
                  <c:v>30540.676027245725</c:v>
                </c:pt>
                <c:pt idx="317">
                  <c:v>29865.834933689446</c:v>
                </c:pt>
                <c:pt idx="318">
                  <c:v>29189.362974157073</c:v>
                </c:pt>
                <c:pt idx="319">
                  <c:v>28511.25620738916</c:v>
                </c:pt>
                <c:pt idx="320">
                  <c:v>27831.51068260156</c:v>
                </c:pt>
                <c:pt idx="321">
                  <c:v>27150.122439462393</c:v>
                </c:pt>
                <c:pt idx="322">
                  <c:v>26467.08750806897</c:v>
                </c:pt>
                <c:pt idx="323">
                  <c:v>25782.40190892468</c:v>
                </c:pt>
                <c:pt idx="324">
                  <c:v>25096.06165291579</c:v>
                </c:pt>
                <c:pt idx="325">
                  <c:v>24408.062741288213</c:v>
                </c:pt>
                <c:pt idx="326">
                  <c:v>23718.401165624204</c:v>
                </c:pt>
                <c:pt idx="327">
                  <c:v>23027.072907819005</c:v>
                </c:pt>
                <c:pt idx="328">
                  <c:v>22334.073940057446</c:v>
                </c:pt>
                <c:pt idx="329">
                  <c:v>21639.40022479046</c:v>
                </c:pt>
                <c:pt idx="330">
                  <c:v>20943.04771471158</c:v>
                </c:pt>
                <c:pt idx="331">
                  <c:v>20245.012352733345</c:v>
                </c:pt>
                <c:pt idx="332">
                  <c:v>19545.29007196366</c:v>
                </c:pt>
                <c:pt idx="333">
                  <c:v>18843.876795682114</c:v>
                </c:pt>
                <c:pt idx="334">
                  <c:v>18140.768437316223</c:v>
                </c:pt>
                <c:pt idx="335">
                  <c:v>17435.960900417613</c:v>
                </c:pt>
                <c:pt idx="336">
                  <c:v>16729.450078638165</c:v>
                </c:pt>
                <c:pt idx="337">
                  <c:v>16021.231855706083</c:v>
                </c:pt>
                <c:pt idx="338">
                  <c:v>15311.302105401915</c:v>
                </c:pt>
                <c:pt idx="339">
                  <c:v>14599.656691534514</c:v>
                </c:pt>
                <c:pt idx="340">
                  <c:v>13886.291467916932</c:v>
                </c:pt>
                <c:pt idx="341">
                  <c:v>13171.202278342274</c:v>
                </c:pt>
                <c:pt idx="342">
                  <c:v>12454.384956559477</c:v>
                </c:pt>
                <c:pt idx="343">
                  <c:v>11735.835326249038</c:v>
                </c:pt>
                <c:pt idx="344">
                  <c:v>11015.549200998683</c:v>
                </c:pt>
                <c:pt idx="345">
                  <c:v>10293.522384278973</c:v>
                </c:pt>
                <c:pt idx="346">
                  <c:v>9569.750669418856</c:v>
                </c:pt>
                <c:pt idx="347">
                  <c:v>8844.229839581161</c:v>
                </c:pt>
                <c:pt idx="348">
                  <c:v>8116.955667738025</c:v>
                </c:pt>
                <c:pt idx="349">
                  <c:v>7387.9239166462685</c:v>
                </c:pt>
                <c:pt idx="350">
                  <c:v>6657.130338822706</c:v>
                </c:pt>
                <c:pt idx="351">
                  <c:v>5924.570676519404</c:v>
                </c:pt>
                <c:pt idx="352">
                  <c:v>5190.240661698868</c:v>
                </c:pt>
                <c:pt idx="353">
                  <c:v>4454.136016009184</c:v>
                </c:pt>
                <c:pt idx="354">
                  <c:v>3716.252450759082</c:v>
                </c:pt>
                <c:pt idx="355">
                  <c:v>2976.585666892959</c:v>
                </c:pt>
                <c:pt idx="356">
                  <c:v>2235.1313549658266</c:v>
                </c:pt>
                <c:pt idx="357">
                  <c:v>1491.8851951182037</c:v>
                </c:pt>
                <c:pt idx="358">
                  <c:v>746.842857050949</c:v>
                </c:pt>
                <c:pt idx="359">
                  <c:v>3.171862772433087e-11</c:v>
                </c:pt>
                <c:pt idx="360">
                  <c:v>3.171862772433087e-11</c:v>
                </c:pt>
                <c:pt idx="361">
                  <c:v>3.171862772433087e-11</c:v>
                </c:pt>
                <c:pt idx="362">
                  <c:v>3.171862772433087e-11</c:v>
                </c:pt>
                <c:pt idx="363">
                  <c:v>3.171862772433087e-11</c:v>
                </c:pt>
                <c:pt idx="364">
                  <c:v>3.171862772433087e-11</c:v>
                </c:pt>
                <c:pt idx="365">
                  <c:v>3.171862772433087e-11</c:v>
                </c:pt>
                <c:pt idx="366">
                  <c:v>3.171862772433087e-11</c:v>
                </c:pt>
                <c:pt idx="367">
                  <c:v>3.171862772433087e-11</c:v>
                </c:pt>
                <c:pt idx="368">
                  <c:v>3.171862772433087e-11</c:v>
                </c:pt>
                <c:pt idx="369">
                  <c:v>3.171862772433087e-11</c:v>
                </c:pt>
                <c:pt idx="370">
                  <c:v>3.171862772433087e-11</c:v>
                </c:pt>
                <c:pt idx="371">
                  <c:v>3.171862772433087e-11</c:v>
                </c:pt>
                <c:pt idx="372">
                  <c:v>3.171862772433087e-11</c:v>
                </c:pt>
                <c:pt idx="373">
                  <c:v>3.171862772433087e-11</c:v>
                </c:pt>
                <c:pt idx="374">
                  <c:v>3.171862772433087e-11</c:v>
                </c:pt>
                <c:pt idx="375">
                  <c:v>3.171862772433087e-11</c:v>
                </c:pt>
                <c:pt idx="376">
                  <c:v>3.171862772433087e-11</c:v>
                </c:pt>
                <c:pt idx="377">
                  <c:v>3.171862772433087e-11</c:v>
                </c:pt>
                <c:pt idx="378">
                  <c:v>3.171862772433087e-11</c:v>
                </c:pt>
                <c:pt idx="379">
                  <c:v>3.171862772433087e-11</c:v>
                </c:pt>
                <c:pt idx="380">
                  <c:v>3.171862772433087e-11</c:v>
                </c:pt>
                <c:pt idx="381">
                  <c:v>3.171862772433087e-11</c:v>
                </c:pt>
                <c:pt idx="382">
                  <c:v>3.171862772433087e-11</c:v>
                </c:pt>
                <c:pt idx="383">
                  <c:v>3.171862772433087e-11</c:v>
                </c:pt>
                <c:pt idx="384">
                  <c:v>3.171862772433087e-11</c:v>
                </c:pt>
                <c:pt idx="385">
                  <c:v>3.171862772433087e-11</c:v>
                </c:pt>
                <c:pt idx="386">
                  <c:v>3.171862772433087e-11</c:v>
                </c:pt>
                <c:pt idx="387">
                  <c:v>3.171862772433087e-11</c:v>
                </c:pt>
                <c:pt idx="388">
                  <c:v>3.171862772433087e-11</c:v>
                </c:pt>
                <c:pt idx="389">
                  <c:v>3.171862772433087e-11</c:v>
                </c:pt>
                <c:pt idx="390">
                  <c:v>3.171862772433087e-11</c:v>
                </c:pt>
                <c:pt idx="391">
                  <c:v>3.171862772433087e-11</c:v>
                </c:pt>
                <c:pt idx="392">
                  <c:v>3.171862772433087e-11</c:v>
                </c:pt>
                <c:pt idx="393">
                  <c:v>3.171862772433087e-11</c:v>
                </c:pt>
                <c:pt idx="394">
                  <c:v>3.171862772433087e-11</c:v>
                </c:pt>
                <c:pt idx="395">
                  <c:v>3.171862772433087e-11</c:v>
                </c:pt>
                <c:pt idx="396">
                  <c:v>3.171862772433087e-11</c:v>
                </c:pt>
                <c:pt idx="397">
                  <c:v>3.171862772433087e-11</c:v>
                </c:pt>
                <c:pt idx="398">
                  <c:v>3.171862772433087e-11</c:v>
                </c:pt>
                <c:pt idx="399">
                  <c:v>3.171862772433087e-11</c:v>
                </c:pt>
                <c:pt idx="400">
                  <c:v>3.171862772433087e-11</c:v>
                </c:pt>
                <c:pt idx="401">
                  <c:v>3.171862772433087e-11</c:v>
                </c:pt>
                <c:pt idx="402">
                  <c:v>3.171862772433087e-11</c:v>
                </c:pt>
                <c:pt idx="403">
                  <c:v>3.171862772433087e-11</c:v>
                </c:pt>
                <c:pt idx="404">
                  <c:v>3.171862772433087e-11</c:v>
                </c:pt>
                <c:pt idx="405">
                  <c:v>3.171862772433087e-11</c:v>
                </c:pt>
                <c:pt idx="406">
                  <c:v>3.171862772433087e-11</c:v>
                </c:pt>
                <c:pt idx="407">
                  <c:v>3.171862772433087e-11</c:v>
                </c:pt>
                <c:pt idx="408">
                  <c:v>3.171862772433087e-11</c:v>
                </c:pt>
                <c:pt idx="409">
                  <c:v>3.171862772433087e-11</c:v>
                </c:pt>
                <c:pt idx="410">
                  <c:v>3.171862772433087e-11</c:v>
                </c:pt>
                <c:pt idx="411">
                  <c:v>3.171862772433087e-11</c:v>
                </c:pt>
                <c:pt idx="412">
                  <c:v>3.171862772433087e-11</c:v>
                </c:pt>
                <c:pt idx="413">
                  <c:v>3.171862772433087e-11</c:v>
                </c:pt>
                <c:pt idx="414">
                  <c:v>3.171862772433087e-11</c:v>
                </c:pt>
                <c:pt idx="415">
                  <c:v>3.171862772433087e-11</c:v>
                </c:pt>
                <c:pt idx="416">
                  <c:v>3.171862772433087e-11</c:v>
                </c:pt>
                <c:pt idx="417">
                  <c:v>3.171862772433087e-11</c:v>
                </c:pt>
                <c:pt idx="418">
                  <c:v>3.171862772433087e-11</c:v>
                </c:pt>
                <c:pt idx="419">
                  <c:v>3.171862772433087e-11</c:v>
                </c:pt>
                <c:pt idx="420">
                  <c:v>3.171862772433087e-11</c:v>
                </c:pt>
                <c:pt idx="421">
                  <c:v>3.171862772433087e-11</c:v>
                </c:pt>
                <c:pt idx="422">
                  <c:v>3.171862772433087e-11</c:v>
                </c:pt>
                <c:pt idx="423">
                  <c:v>3.171862772433087e-11</c:v>
                </c:pt>
                <c:pt idx="424">
                  <c:v>3.171862772433087e-11</c:v>
                </c:pt>
                <c:pt idx="425">
                  <c:v>3.171862772433087e-11</c:v>
                </c:pt>
                <c:pt idx="426">
                  <c:v>3.171862772433087e-11</c:v>
                </c:pt>
                <c:pt idx="427">
                  <c:v>3.171862772433087e-11</c:v>
                </c:pt>
                <c:pt idx="428">
                  <c:v>3.171862772433087e-11</c:v>
                </c:pt>
                <c:pt idx="429">
                  <c:v>3.171862772433087e-11</c:v>
                </c:pt>
                <c:pt idx="430">
                  <c:v>3.171862772433087e-11</c:v>
                </c:pt>
                <c:pt idx="431">
                  <c:v>3.171862772433087e-11</c:v>
                </c:pt>
                <c:pt idx="432">
                  <c:v>3.171862772433087e-11</c:v>
                </c:pt>
                <c:pt idx="433">
                  <c:v>3.171862772433087e-11</c:v>
                </c:pt>
                <c:pt idx="434">
                  <c:v>3.171862772433087e-11</c:v>
                </c:pt>
                <c:pt idx="435">
                  <c:v>3.171862772433087e-11</c:v>
                </c:pt>
                <c:pt idx="436">
                  <c:v>3.171862772433087e-11</c:v>
                </c:pt>
                <c:pt idx="437">
                  <c:v>3.171862772433087e-11</c:v>
                </c:pt>
                <c:pt idx="438">
                  <c:v>3.171862772433087e-11</c:v>
                </c:pt>
                <c:pt idx="439">
                  <c:v>3.171862772433087e-11</c:v>
                </c:pt>
                <c:pt idx="440">
                  <c:v>3.171862772433087e-11</c:v>
                </c:pt>
                <c:pt idx="441">
                  <c:v>3.171862772433087e-11</c:v>
                </c:pt>
                <c:pt idx="442">
                  <c:v>3.171862772433087e-11</c:v>
                </c:pt>
                <c:pt idx="443">
                  <c:v>3.171862772433087e-11</c:v>
                </c:pt>
                <c:pt idx="444">
                  <c:v>3.171862772433087e-11</c:v>
                </c:pt>
                <c:pt idx="445">
                  <c:v>3.171862772433087e-11</c:v>
                </c:pt>
                <c:pt idx="446">
                  <c:v>3.171862772433087e-11</c:v>
                </c:pt>
                <c:pt idx="447">
                  <c:v>3.171862772433087e-11</c:v>
                </c:pt>
                <c:pt idx="448">
                  <c:v>3.171862772433087e-11</c:v>
                </c:pt>
                <c:pt idx="449">
                  <c:v>3.171862772433087e-11</c:v>
                </c:pt>
                <c:pt idx="450">
                  <c:v>3.171862772433087e-11</c:v>
                </c:pt>
                <c:pt idx="451">
                  <c:v>3.171862772433087e-11</c:v>
                </c:pt>
                <c:pt idx="452">
                  <c:v>3.171862772433087e-11</c:v>
                </c:pt>
                <c:pt idx="453">
                  <c:v>3.171862772433087e-11</c:v>
                </c:pt>
                <c:pt idx="454">
                  <c:v>3.171862772433087e-11</c:v>
                </c:pt>
                <c:pt idx="455">
                  <c:v>3.171862772433087e-11</c:v>
                </c:pt>
                <c:pt idx="456">
                  <c:v>3.171862772433087e-11</c:v>
                </c:pt>
                <c:pt idx="457">
                  <c:v>3.171862772433087e-11</c:v>
                </c:pt>
                <c:pt idx="458">
                  <c:v>3.171862772433087e-11</c:v>
                </c:pt>
                <c:pt idx="459">
                  <c:v>3.171862772433087e-11</c:v>
                </c:pt>
                <c:pt idx="460">
                  <c:v>3.171862772433087e-11</c:v>
                </c:pt>
                <c:pt idx="461">
                  <c:v>3.171862772433087e-11</c:v>
                </c:pt>
                <c:pt idx="462">
                  <c:v>3.171862772433087e-11</c:v>
                </c:pt>
                <c:pt idx="463">
                  <c:v>3.171862772433087e-11</c:v>
                </c:pt>
                <c:pt idx="464">
                  <c:v>3.171862772433087e-11</c:v>
                </c:pt>
                <c:pt idx="465">
                  <c:v>3.171862772433087e-11</c:v>
                </c:pt>
                <c:pt idx="466">
                  <c:v>3.171862772433087e-11</c:v>
                </c:pt>
                <c:pt idx="467">
                  <c:v>3.171862772433087e-11</c:v>
                </c:pt>
                <c:pt idx="468">
                  <c:v>3.171862772433087e-11</c:v>
                </c:pt>
                <c:pt idx="469">
                  <c:v>3.171862772433087e-11</c:v>
                </c:pt>
                <c:pt idx="470">
                  <c:v>3.171862772433087e-11</c:v>
                </c:pt>
                <c:pt idx="471">
                  <c:v>3.171862772433087e-11</c:v>
                </c:pt>
                <c:pt idx="472">
                  <c:v>3.171862772433087e-11</c:v>
                </c:pt>
                <c:pt idx="473">
                  <c:v>3.171862772433087e-11</c:v>
                </c:pt>
                <c:pt idx="474">
                  <c:v>3.171862772433087e-11</c:v>
                </c:pt>
                <c:pt idx="475">
                  <c:v>3.171862772433087e-11</c:v>
                </c:pt>
                <c:pt idx="476">
                  <c:v>3.171862772433087e-11</c:v>
                </c:pt>
                <c:pt idx="477">
                  <c:v>3.171862772433087e-11</c:v>
                </c:pt>
                <c:pt idx="478">
                  <c:v>3.171862772433087e-11</c:v>
                </c:pt>
                <c:pt idx="479">
                  <c:v>3.171862772433087e-11</c:v>
                </c:pt>
              </c:numCache>
            </c:numRef>
          </c:val>
        </c:ser>
        <c:marker val="1"/>
        <c:axId val="50010001"/>
        <c:axId val="50010002"/>
      </c:lineChart>
      <c:dateAx>
        <c:axId val="50010001"/>
        <c:scaling>
          <c:orientation val="minMax"/>
        </c:scaling>
        <c:axPos val="b"/>
        <c:numFmt formatCode="yyyy" sourceLinked="0"/>
        <c:tickLblPos val="nextTo"/>
        <c:txPr>
          <a:bodyPr/>
          <a:lstStyle/>
          <a:p>
            <a:pPr>
              <a:defRPr sz="900" baseline="0"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Offset val="100"/>
        <c:majorUnit val="5"/>
        <c:majorTimeUnit val="years"/>
      </c:date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D9D2C0"/>
              </a:solidFill>
            </a:ln>
          </c:spPr>
        </c:majorGridlines>
        <c:numFmt formatCode="#,##0 &quot;€&quot;" sourceLinked="0"/>
        <c:tickLblPos val="nextTo"/>
        <c:txPr>
          <a:bodyPr/>
          <a:lstStyle/>
          <a:p>
            <a:pPr>
              <a:defRPr sz="900" baseline="0"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900" baseline="0">
              <a:latin typeface="Arial"/>
            </a:defRPr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>
                <a:solidFill>
                  <a:srgbClr val="1F2A24"/>
                </a:solidFill>
                <a:latin typeface="Arial"/>
              </a:defRPr>
            </a:pPr>
            <a:r>
              <a:rPr lang="en-US" sz="1100" baseline="0">
                <a:solidFill>
                  <a:srgbClr val="1F2A24"/>
                </a:solidFill>
                <a:latin typeface="Arial"/>
              </a:rPr>
              <a:t>Qué pagas cada año: intereses y capital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v>Intereses</c:v>
          </c:tx>
          <c:spPr>
            <a:solidFill>
              <a:srgbClr val="B3402A"/>
            </a:solidFill>
          </c:spPr>
          <c:cat>
            <c:numRef>
              <c:f>Anual!$B$5:$B$44</c:f>
              <c:numCache>
                <c:formatCode>General</c:formatCode>
                <c:ptCount val="4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</c:numCache>
            </c:numRef>
          </c:cat>
          <c:val>
            <c:numRef>
              <c:f>Anual!$C$5:$C$44</c:f>
              <c:numCache>
                <c:formatCode>General</c:formatCode>
                <c:ptCount val="40"/>
                <c:pt idx="0">
                  <c:v>899.2277818482175</c:v>
                </c:pt>
                <c:pt idx="1">
                  <c:v>5140.260802904856</c:v>
                </c:pt>
                <c:pt idx="2">
                  <c:v>4465.2982514804835</c:v>
                </c:pt>
                <c:pt idx="3">
                  <c:v>4496.401841468719</c:v>
                </c:pt>
                <c:pt idx="4">
                  <c:v>4340.429503901587</c:v>
                </c:pt>
                <c:pt idx="5">
                  <c:v>4204.690277234651</c:v>
                </c:pt>
                <c:pt idx="6">
                  <c:v>4064.9618673963096</c:v>
                </c:pt>
                <c:pt idx="7">
                  <c:v>3921.127037956341</c:v>
                </c:pt>
                <c:pt idx="8">
                  <c:v>3773.065107072277</c:v>
                </c:pt>
                <c:pt idx="9">
                  <c:v>3620.6518462336217</c:v>
                </c:pt>
                <c:pt idx="10">
                  <c:v>3463.7593760303166</c:v>
                </c:pt>
                <c:pt idx="11">
                  <c:v>3302.2560588579813</c:v>
                </c:pt>
                <c:pt idx="12">
                  <c:v>3136.006388469925</c:v>
                </c:pt>
                <c:pt idx="13">
                  <c:v>2964.8708762832284</c:v>
                </c:pt>
                <c:pt idx="14">
                  <c:v>2788.7059343435503</c:v>
                </c:pt>
                <c:pt idx="15">
                  <c:v>2607.363754850413</c:v>
                </c:pt>
                <c:pt idx="16">
                  <c:v>2420.6921861419123</c:v>
                </c:pt>
                <c:pt idx="17">
                  <c:v>2228.534605034806</c:v>
                </c:pt>
                <c:pt idx="18">
                  <c:v>2030.7297854128387</c:v>
                </c:pt>
                <c:pt idx="19">
                  <c:v>1827.111762953084</c:v>
                </c:pt>
                <c:pt idx="20">
                  <c:v>1617.509695876773</c:v>
                </c:pt>
                <c:pt idx="21">
                  <c:v>1401.7477216077928</c:v>
                </c:pt>
                <c:pt idx="22">
                  <c:v>1179.6448092185783</c:v>
                </c:pt>
                <c:pt idx="23">
                  <c:v>951.0146075396019</c:v>
                </c:pt>
                <c:pt idx="24">
                  <c:v>715.6652888050146</c:v>
                </c:pt>
                <c:pt idx="25">
                  <c:v>473.3993877032537</c:v>
                </c:pt>
                <c:pt idx="26">
                  <c:v>224.01363569758004</c:v>
                </c:pt>
                <c:pt idx="27">
                  <c:v>18.00048297766919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ser>
          <c:idx val="1"/>
          <c:order val="1"/>
          <c:tx>
            <c:v>Capital</c:v>
          </c:tx>
          <c:spPr>
            <a:solidFill>
              <a:srgbClr val="1E4A3A"/>
            </a:solidFill>
          </c:spPr>
          <c:cat>
            <c:numRef>
              <c:f>Anual!$B$5:$B$44</c:f>
              <c:numCache>
                <c:formatCode>General</c:formatCode>
                <c:ptCount val="4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</c:numCache>
            </c:numRef>
          </c:cat>
          <c:val>
            <c:numRef>
              <c:f>Anual!$D$5:$D$44</c:f>
              <c:numCache>
                <c:formatCode>General</c:formatCode>
                <c:ptCount val="40"/>
                <c:pt idx="0">
                  <c:v>618.5467395778044</c:v>
                </c:pt>
                <c:pt idx="1">
                  <c:v>3892.9929055694874</c:v>
                </c:pt>
                <c:pt idx="2">
                  <c:v>4249.8079287498385</c:v>
                </c:pt>
                <c:pt idx="3">
                  <c:v>4462.802199586204</c:v>
                </c:pt>
                <c:pt idx="4">
                  <c:v>4618.774537153337</c:v>
                </c:pt>
                <c:pt idx="5">
                  <c:v>4754.5137638202705</c:v>
                </c:pt>
                <c:pt idx="6">
                  <c:v>4894.242173658612</c:v>
                </c:pt>
                <c:pt idx="7">
                  <c:v>5038.077003098581</c:v>
                </c:pt>
                <c:pt idx="8">
                  <c:v>5186.1389339826455</c:v>
                </c:pt>
                <c:pt idx="9">
                  <c:v>5338.552194821302</c:v>
                </c:pt>
                <c:pt idx="10">
                  <c:v>5495.444665024607</c:v>
                </c:pt>
                <c:pt idx="11">
                  <c:v>5656.947982196942</c:v>
                </c:pt>
                <c:pt idx="12">
                  <c:v>5823.197652585</c:v>
                </c:pt>
                <c:pt idx="13">
                  <c:v>5994.333164771695</c:v>
                </c:pt>
                <c:pt idx="14">
                  <c:v>6170.498106711372</c:v>
                </c:pt>
                <c:pt idx="15">
                  <c:v>6351.84028620451</c:v>
                </c:pt>
                <c:pt idx="16">
                  <c:v>6538.51185491301</c:v>
                </c:pt>
                <c:pt idx="17">
                  <c:v>6730.669436020116</c:v>
                </c:pt>
                <c:pt idx="18">
                  <c:v>6928.474255642084</c:v>
                </c:pt>
                <c:pt idx="19">
                  <c:v>7132.092278101838</c:v>
                </c:pt>
                <c:pt idx="20">
                  <c:v>7341.694345178149</c:v>
                </c:pt>
                <c:pt idx="21">
                  <c:v>7557.45631944713</c:v>
                </c:pt>
                <c:pt idx="22">
                  <c:v>7779.559231836344</c:v>
                </c:pt>
                <c:pt idx="23">
                  <c:v>8008.189433515322</c:v>
                </c:pt>
                <c:pt idx="24">
                  <c:v>8243.53875224991</c:v>
                </c:pt>
                <c:pt idx="25">
                  <c:v>8485.804653351668</c:v>
                </c:pt>
                <c:pt idx="26">
                  <c:v>8735.190405357343</c:v>
                </c:pt>
                <c:pt idx="27">
                  <c:v>2972.108796875066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</c:ser>
        <c:overlap val="100"/>
        <c:axId val="50020001"/>
        <c:axId val="50020002"/>
      </c:barChart>
      <c:catAx>
        <c:axId val="50020001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900" baseline="0"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D9D2C0"/>
              </a:solidFill>
            </a:ln>
          </c:spPr>
        </c:majorGridlines>
        <c:numFmt formatCode="#,##0 &quot;€&quot;" sourceLinked="0"/>
        <c:tickLblPos val="nextTo"/>
        <c:txPr>
          <a:bodyPr/>
          <a:lstStyle/>
          <a:p>
            <a:pPr>
              <a:defRPr sz="900" baseline="0"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900" baseline="0">
              <a:latin typeface="Arial"/>
            </a:defRPr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0</xdr:rowOff>
    </xdr:from>
    <xdr:to>
      <xdr:col>4</xdr:col>
      <xdr:colOff>228600</xdr:colOff>
      <xdr:row>39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190500</xdr:colOff>
      <xdr:row>27</xdr:row>
      <xdr:rowOff>0</xdr:rowOff>
    </xdr:from>
    <xdr:to>
      <xdr:col>8</xdr:col>
      <xdr:colOff>790575</xdr:colOff>
      <xdr:row>39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4A3A"/>
    <pageSetUpPr fitToPage="1"/>
  </sheetPr>
  <dimension ref="A1:C15"/>
  <sheetViews>
    <sheetView showGridLines="0" tabSelected="1" workbookViewId="0"/>
  </sheetViews>
  <sheetFormatPr defaultRowHeight="18" customHeight="1"/>
  <cols>
    <col min="1" max="1" width="2.7109375" style="1" customWidth="1"/>
    <col min="2" max="2" width="4.7109375" customWidth="1"/>
    <col min="3" max="3" width="100.7109375" customWidth="1"/>
  </cols>
  <sheetData>
    <row r="1" spans="2:3" ht="32" customHeight="1">
      <c r="B1" s="2" t="s">
        <v>54</v>
      </c>
    </row>
    <row r="2" spans="2:3" ht="18" customHeight="1">
      <c r="B2" s="3" t="s">
        <v>55</v>
      </c>
    </row>
    <row r="4" spans="2:3" ht="18" customHeight="1">
      <c r="B4" s="4" t="s">
        <v>56</v>
      </c>
      <c r="C4" s="5" t="s">
        <v>57</v>
      </c>
    </row>
    <row r="5" spans="2:3" ht="18" customHeight="1">
      <c r="B5" s="4" t="s">
        <v>58</v>
      </c>
      <c r="C5" s="5" t="s">
        <v>59</v>
      </c>
    </row>
    <row r="6" spans="2:3" ht="18" customHeight="1">
      <c r="B6" s="4" t="s">
        <v>60</v>
      </c>
      <c r="C6" s="5" t="s">
        <v>61</v>
      </c>
    </row>
    <row r="7" spans="2:3" ht="18" customHeight="1">
      <c r="B7" s="4" t="s">
        <v>62</v>
      </c>
      <c r="C7" s="5" t="s">
        <v>63</v>
      </c>
    </row>
    <row r="8" spans="2:3" ht="18" customHeight="1">
      <c r="B8" s="4" t="s">
        <v>64</v>
      </c>
      <c r="C8" s="5" t="s">
        <v>65</v>
      </c>
    </row>
    <row r="10" spans="2:3" ht="18" customHeight="1">
      <c r="C10" s="6" t="s">
        <v>66</v>
      </c>
    </row>
    <row r="12" spans="2:3" ht="18" customHeight="1">
      <c r="C12" s="6" t="s">
        <v>67</v>
      </c>
    </row>
    <row r="13" spans="2:3" ht="18" customHeight="1">
      <c r="C13" s="6" t="s">
        <v>68</v>
      </c>
    </row>
    <row r="15" spans="2:3" ht="18" customHeight="1">
      <c r="C15" s="6" t="s">
        <v>69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E4A3A"/>
    <pageSetUpPr fitToPage="1"/>
  </sheetPr>
  <dimension ref="A1:I26"/>
  <sheetViews>
    <sheetView showGridLines="0" workbookViewId="0"/>
  </sheetViews>
  <sheetFormatPr defaultRowHeight="18" customHeight="1"/>
  <cols>
    <col min="1" max="1" width="2.7109375" style="1" customWidth="1"/>
    <col min="2" max="2" width="42.7109375" customWidth="1"/>
    <col min="3" max="3" width="18.7109375" customWidth="1"/>
    <col min="4" max="4" width="3.7109375" customWidth="1"/>
    <col min="5" max="6" width="16.7109375" customWidth="1"/>
    <col min="7" max="7" width="3.7109375" customWidth="1"/>
    <col min="8" max="9" width="16.7109375" customWidth="1"/>
  </cols>
  <sheetData>
    <row r="1" spans="2:9" ht="32" customHeight="1">
      <c r="B1" s="2" t="s">
        <v>4</v>
      </c>
    </row>
    <row r="2" spans="2:9" ht="18" customHeight="1">
      <c r="B2" s="3" t="s">
        <v>5</v>
      </c>
    </row>
    <row r="3" spans="2:9" ht="30" customHeight="1">
      <c r="B3" s="7" t="s">
        <v>6</v>
      </c>
      <c r="C3" s="7"/>
      <c r="E3" s="8" t="s">
        <v>13</v>
      </c>
      <c r="F3" s="8" t="s">
        <v>14</v>
      </c>
      <c r="H3" s="8" t="s">
        <v>15</v>
      </c>
      <c r="I3" s="8" t="s">
        <v>16</v>
      </c>
    </row>
    <row r="4" spans="2:9" ht="18" customHeight="1">
      <c r="B4" s="9" t="s">
        <v>7</v>
      </c>
      <c r="C4" s="10">
        <v>180000</v>
      </c>
      <c r="E4" s="11">
        <v>46692</v>
      </c>
      <c r="F4" s="12">
        <v>0.026</v>
      </c>
      <c r="H4" s="11">
        <v>46539</v>
      </c>
      <c r="I4" s="10">
        <v>5000</v>
      </c>
    </row>
    <row r="5" spans="2:9" ht="18" customHeight="1">
      <c r="B5" s="9" t="s">
        <v>8</v>
      </c>
      <c r="C5" s="13">
        <v>30</v>
      </c>
      <c r="E5" s="11">
        <v>47058</v>
      </c>
      <c r="F5" s="12">
        <v>0.029</v>
      </c>
      <c r="H5" s="11">
        <v>47119</v>
      </c>
      <c r="I5" s="10">
        <v>10000</v>
      </c>
    </row>
    <row r="6" spans="2:9" ht="18" customHeight="1">
      <c r="B6" s="9" t="s">
        <v>9</v>
      </c>
      <c r="C6" s="12">
        <v>0.03</v>
      </c>
      <c r="E6" s="11"/>
      <c r="F6" s="12"/>
      <c r="H6" s="11"/>
      <c r="I6" s="10"/>
    </row>
    <row r="7" spans="2:9" ht="18" customHeight="1">
      <c r="B7" s="9" t="s">
        <v>10</v>
      </c>
      <c r="C7" s="11">
        <v>46327</v>
      </c>
      <c r="E7" s="11"/>
      <c r="F7" s="12"/>
      <c r="H7" s="11"/>
      <c r="I7" s="10"/>
    </row>
    <row r="8" spans="2:9" ht="18" customHeight="1">
      <c r="B8" s="9" t="s">
        <v>11</v>
      </c>
      <c r="C8" s="14" t="s">
        <v>2</v>
      </c>
      <c r="E8" s="11"/>
      <c r="F8" s="12"/>
      <c r="H8" s="11"/>
      <c r="I8" s="10"/>
    </row>
    <row r="9" spans="2:9" ht="18" customHeight="1">
      <c r="B9" s="9" t="s">
        <v>12</v>
      </c>
      <c r="C9" s="12">
        <v>0</v>
      </c>
      <c r="E9" s="11"/>
      <c r="F9" s="12"/>
      <c r="H9" s="11"/>
      <c r="I9" s="10"/>
    </row>
    <row r="10" spans="2:9" ht="18" customHeight="1">
      <c r="E10" s="15" t="s">
        <v>17</v>
      </c>
      <c r="F10" s="15"/>
      <c r="H10" s="11"/>
      <c r="I10" s="10"/>
    </row>
    <row r="11" spans="2:9" ht="18" customHeight="1">
      <c r="B11" s="7" t="s">
        <v>19</v>
      </c>
      <c r="C11" s="7"/>
      <c r="E11" s="15"/>
      <c r="F11" s="15"/>
      <c r="H11" s="11"/>
      <c r="I11" s="10"/>
    </row>
    <row r="12" spans="2:9" ht="18" customHeight="1">
      <c r="B12" s="16" t="s">
        <v>20</v>
      </c>
      <c r="C12" s="17">
        <f>Cuadro!F6</f>
        <v>758.887260713011</v>
      </c>
      <c r="E12" s="15"/>
      <c r="F12" s="15"/>
      <c r="H12" s="11"/>
      <c r="I12" s="10"/>
    </row>
    <row r="13" spans="2:9" ht="18" customHeight="1">
      <c r="B13" s="16" t="s">
        <v>21</v>
      </c>
      <c r="C13" s="17">
        <f>MAX(Cuadro!$F$6:$F$485)</f>
        <v>758.887260713011</v>
      </c>
      <c r="H13" s="11"/>
      <c r="I13" s="10"/>
    </row>
    <row r="14" spans="2:9" ht="18" customHeight="1">
      <c r="B14" s="16" t="s">
        <v>22</v>
      </c>
      <c r="C14" s="17">
        <f>SUM(Cuadro!$G$6:$G$485)</f>
        <v>72277.14067530146</v>
      </c>
      <c r="H14" s="11"/>
      <c r="I14" s="10"/>
    </row>
    <row r="15" spans="2:9" ht="18" customHeight="1">
      <c r="B15" s="16" t="s">
        <v>23</v>
      </c>
      <c r="C15" s="17">
        <f>SUM(Cuadro!$F$6:$F$485)+SUM(Cuadro!$I$6:$I$485)+SUM(Cuadro!$I$6:$I$485)*$C$9</f>
        <v>252277.14067530193</v>
      </c>
      <c r="H15" s="11"/>
      <c r="I15" s="10"/>
    </row>
    <row r="16" spans="2:9" ht="18" customHeight="1">
      <c r="B16" s="16" t="s">
        <v>24</v>
      </c>
      <c r="C16" s="18">
        <f>COUNTIF(Cuadro!$F$6:$F$485,"&gt;0")</f>
        <v>319</v>
      </c>
      <c r="H16" s="15" t="s">
        <v>18</v>
      </c>
      <c r="I16" s="15"/>
    </row>
    <row r="17" spans="2:9" ht="18" customHeight="1">
      <c r="B17" s="16" t="s">
        <v>25</v>
      </c>
      <c r="C17" s="19">
        <f>IFERROR(INDEX(Cuadro!$C$6:$C$485,C16),"")</f>
        <v>56005.0</v>
      </c>
      <c r="H17" s="15"/>
      <c r="I17" s="15"/>
    </row>
    <row r="18" spans="2:9" ht="18" customHeight="1">
      <c r="B18" s="16" t="s">
        <v>26</v>
      </c>
      <c r="C18" s="20" t="str">
        <f>INT(C16/12)&amp;" años y "&amp;MOD(C16,12)&amp;" meses"</f>
        <v>26 años y 7 meses</v>
      </c>
    </row>
    <row r="19" spans="2:9" ht="18" customHeight="1">
      <c r="B19" s="16" t="s">
        <v>27</v>
      </c>
      <c r="C19" s="17">
        <f>SUM(Cuadro!$P$6:$P$485)-SUM(Cuadro!$G$6:$G$485)</f>
        <v>17035.104698464827</v>
      </c>
    </row>
    <row r="20" spans="2:9" ht="18" customHeight="1">
      <c r="B20" s="16" t="s">
        <v>28</v>
      </c>
      <c r="C20" s="18">
        <f>$C$5*12-C16</f>
        <v>41</v>
      </c>
    </row>
    <row r="21" spans="2:9" ht="18" customHeight="1">
      <c r="B21" s="16" t="s">
        <v>29</v>
      </c>
      <c r="C21" s="17">
        <f>SUM(Cuadro!$I$6:$I$485)*$C$9</f>
        <v>0</v>
      </c>
    </row>
    <row r="23" spans="2:9" ht="18" customHeight="1">
      <c r="B23" s="15" t="s">
        <v>30</v>
      </c>
      <c r="C23" s="15"/>
    </row>
    <row r="24" spans="2:9" ht="18" customHeight="1">
      <c r="B24" s="15"/>
      <c r="C24" s="15"/>
    </row>
    <row r="25" spans="2:9" ht="18" customHeight="1">
      <c r="B25" s="15"/>
      <c r="C25" s="15"/>
    </row>
    <row r="26" spans="2:9" ht="18" customHeight="1">
      <c r="B26" s="15"/>
      <c r="C26" s="15"/>
    </row>
  </sheetData>
  <mergeCells count="3">
    <mergeCell ref="E10:F12"/>
    <mergeCell ref="H16:I17"/>
    <mergeCell ref="B23:C26"/>
  </mergeCells>
  <dataValidations count="5">
    <dataValidation type="decimal" allowBlank="1" showInputMessage="1" showErrorMessage="1" errorTitle="Capital" error="Escribe un importe en euros." sqref="C4">
      <formula1>0</formula1>
      <formula2>100000000</formula2>
    </dataValidation>
    <dataValidation type="whole" allowBlank="1" showInputMessage="1" showErrorMessage="1" errorTitle="Plazo" error="Entre 1 y 40 años." sqref="C5">
      <formula1>1</formula1>
      <formula2>40</formula2>
    </dataValidation>
    <dataValidation type="decimal" allowBlank="1" showInputMessage="1" showErrorMessage="1" errorTitle="TIN" error="Escribe el tipo como porcentaje, por ejemplo 3%." sqref="C6">
      <formula1>0</formula1>
      <formula2>0.25</formula2>
    </dataValidation>
    <dataValidation type="list" allowBlank="1" showInputMessage="1" showErrorMessage="1" sqref="C8">
      <formula1>Listas!$B$4:$B$5</formula1>
    </dataValidation>
    <dataValidation type="decimal" allowBlank="1" showInputMessage="1" showErrorMessage="1" sqref="C9">
      <formula1>0</formula1>
      <formula2>0.05</formula2>
    </dataValidation>
  </dataValidations>
  <pageMargins left="0.7" right="0.7" top="0.75" bottom="0.75" header="0.3" footer="0.3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3402A"/>
    <pageSetUpPr fitToPage="1"/>
  </sheetPr>
  <dimension ref="A1:R485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8" customHeight="1"/>
  <cols>
    <col min="1" max="1" width="2.7109375" style="1" customWidth="1"/>
    <col min="2" max="2" width="6.7109375" customWidth="1"/>
    <col min="3" max="3" width="12.7109375" customWidth="1"/>
    <col min="4" max="4" width="9.7109375" customWidth="1"/>
    <col min="5" max="10" width="14.7109375" customWidth="1"/>
    <col min="11" max="12" width="9.7109375" customWidth="1"/>
    <col min="13" max="13" width="2.7109375" customWidth="1"/>
    <col min="14" max="18" width="13.7109375" customWidth="1"/>
  </cols>
  <sheetData>
    <row r="1" spans="2:18" ht="32" customHeight="1">
      <c r="B1" s="2" t="s">
        <v>31</v>
      </c>
    </row>
    <row r="2" spans="2:18" ht="18" customHeight="1">
      <c r="B2" s="3" t="s">
        <v>32</v>
      </c>
    </row>
    <row r="5" spans="2:18" ht="40" customHeight="1">
      <c r="B5" s="8" t="s">
        <v>33</v>
      </c>
      <c r="C5" s="8" t="s">
        <v>34</v>
      </c>
      <c r="D5" s="8" t="s">
        <v>35</v>
      </c>
      <c r="E5" s="8" t="s">
        <v>36</v>
      </c>
      <c r="F5" s="8" t="s">
        <v>37</v>
      </c>
      <c r="G5" s="8" t="s">
        <v>38</v>
      </c>
      <c r="H5" s="8" t="s">
        <v>39</v>
      </c>
      <c r="I5" s="8" t="s">
        <v>40</v>
      </c>
      <c r="J5" s="8" t="s">
        <v>41</v>
      </c>
      <c r="K5" s="8" t="s">
        <v>42</v>
      </c>
      <c r="L5" s="8" t="s">
        <v>43</v>
      </c>
      <c r="N5" s="8" t="s">
        <v>44</v>
      </c>
      <c r="O5" s="8" t="s">
        <v>45</v>
      </c>
      <c r="P5" s="8" t="s">
        <v>46</v>
      </c>
      <c r="Q5" s="8" t="s">
        <v>47</v>
      </c>
      <c r="R5" s="8" t="s">
        <v>48</v>
      </c>
    </row>
    <row r="6" spans="2:18" ht="18" customHeight="1">
      <c r="B6" s="21">
        <f>ROW()-5</f>
        <v>1</v>
      </c>
      <c r="C6" s="22">
        <f>EDATE(Hipoteca!$C$7,B6-1)</f>
        <v>46327.0</v>
      </c>
      <c r="D6" s="23">
        <f>IFERROR(LOOKUP(2,1/((Hipoteca!$E$4:$E$9&lt;&gt;"")*(Hipoteca!$E$4:$E$9&lt;=C6)),Hipoteca!$F$4:$F$9),Hipoteca!$C$6)</f>
        <v>0.03</v>
      </c>
      <c r="E6" s="24">
        <f>Hipoteca!$C$4</f>
        <v>180000</v>
      </c>
      <c r="F6" s="24">
        <f>IF(E6&lt;=0.005,0,MIN(E6*(1+D6/12),PMT(D6/12,K6,-E6)))</f>
        <v>758.887260713011</v>
      </c>
      <c r="G6" s="24">
        <f>E6*D6/12</f>
        <v>450</v>
      </c>
      <c r="H6" s="24">
        <f>IF(E6&lt;=0.005,0,MIN(E6,F6-G6))</f>
        <v>308.88726071301096</v>
      </c>
      <c r="I6" s="24">
        <f>MIN(E6-H6,SUMPRODUCT((YEAR(Hipoteca!$H$4:$H$15)=YEAR(C6))*(MONTH(Hipoteca!$H$4:$H$15)=MONTH(C6))*(Hipoteca!$H$4:$H$15&lt;&gt;"")*Hipoteca!$I$4:$I$15))</f>
        <v>0</v>
      </c>
      <c r="J6" s="24">
        <f>MAX(0,E6-H6-I6)</f>
        <v>179691.112739287</v>
      </c>
      <c r="K6" s="21">
        <f>Hipoteca!$C$5*12</f>
        <v>360</v>
      </c>
      <c r="L6" s="21">
        <f>YEAR(C6)</f>
        <v>2026</v>
      </c>
      <c r="N6" s="25">
        <f>Hipoteca!$C$4</f>
        <v>180000</v>
      </c>
      <c r="O6" s="25">
        <f>IF(N6&lt;=0.005,0,PMT(D6/12,Hipoteca!$C$5*12,-N6))</f>
        <v>758.887260713011</v>
      </c>
      <c r="P6" s="25">
        <f>N6*D6/12</f>
        <v>450</v>
      </c>
      <c r="Q6" s="25">
        <f>IF(N6&lt;=0.005,0,MIN(N6,O6-P6))</f>
        <v>308.88726071301096</v>
      </c>
      <c r="R6" s="25">
        <f>MAX(0,N6-Q6)</f>
        <v>179691.112739287</v>
      </c>
    </row>
    <row r="7" spans="2:18" ht="18" customHeight="1">
      <c r="B7" s="21">
        <f>ROW()-5</f>
        <v>2</v>
      </c>
      <c r="C7" s="22">
        <f>EDATE(Hipoteca!$C$7,B7-1)</f>
        <v>46357.0</v>
      </c>
      <c r="D7" s="23">
        <f>IFERROR(LOOKUP(2,1/((Hipoteca!$E$4:$E$9&lt;&gt;"")*(Hipoteca!$E$4:$E$9&lt;=C7)),Hipoteca!$F$4:$F$9),Hipoteca!$C$6)</f>
        <v>0.03</v>
      </c>
      <c r="E7" s="24">
        <f>J6</f>
        <v>179691.112739287</v>
      </c>
      <c r="F7" s="24">
        <f>IF(E7&lt;=0.005,0,MIN(E7*(1+D7/12),IF(OR(Hipoteca!$C$8="Reducir cuota",D7&lt;&gt;D6),PMT(D7/12,K7,-E7),F6)))</f>
        <v>758.887260713011</v>
      </c>
      <c r="G7" s="24">
        <f>E7*D7/12</f>
        <v>449.2277818482175</v>
      </c>
      <c r="H7" s="24">
        <f>IF(E7&lt;=0.005,0,MIN(E7,F7-G7))</f>
        <v>309.65947886479347</v>
      </c>
      <c r="I7" s="24">
        <f>MIN(E7-H7,SUMPRODUCT((YEAR(Hipoteca!$H$4:$H$15)=YEAR(C7))*(MONTH(Hipoteca!$H$4:$H$15)=MONTH(C7))*(Hipoteca!$H$4:$H$15&lt;&gt;"")*Hipoteca!$I$4:$I$15))</f>
        <v>0</v>
      </c>
      <c r="J7" s="24">
        <f>MAX(0,E7-H7-I7)</f>
        <v>179381.4532604222</v>
      </c>
      <c r="K7" s="21">
        <f>IF(E7&lt;=0.005,0,IF(Hipoteca!$C$8="Reducir cuota",$K$6-(B7-1),IFERROR(MAX(1,ROUNDUP(NPER(D6/12,-F6,E7),0)),$K$6-(B7-1))))</f>
        <v>360</v>
      </c>
      <c r="L7" s="21">
        <f>YEAR(C7)</f>
        <v>2026</v>
      </c>
      <c r="N7" s="25">
        <f>R6</f>
        <v>179691.112739287</v>
      </c>
      <c r="O7" s="25">
        <f>IF(N7&lt;=0.005,0,IF(D7&lt;&gt;D6,PMT(D7/12,Hipoteca!$C$5*12-(B7-1),-N7),O6))</f>
        <v>758.887260713011</v>
      </c>
      <c r="P7" s="25">
        <f>N7*D7/12</f>
        <v>449.2277818482175</v>
      </c>
      <c r="Q7" s="25">
        <f>IF(N7&lt;=0.005,0,MIN(N7,O7-P7))</f>
        <v>309.65947886479347</v>
      </c>
      <c r="R7" s="25">
        <f>MAX(0,N7-Q7)</f>
        <v>179381.4532604222</v>
      </c>
    </row>
    <row r="8" spans="2:18" ht="18" customHeight="1">
      <c r="B8" s="21">
        <f>ROW()-5</f>
        <v>3</v>
      </c>
      <c r="C8" s="22">
        <f>EDATE(Hipoteca!$C$7,B8-1)</f>
        <v>46388.0</v>
      </c>
      <c r="D8" s="23">
        <f>IFERROR(LOOKUP(2,1/((Hipoteca!$E$4:$E$9&lt;&gt;"")*(Hipoteca!$E$4:$E$9&lt;=C8)),Hipoteca!$F$4:$F$9),Hipoteca!$C$6)</f>
        <v>0.03</v>
      </c>
      <c r="E8" s="24">
        <f>J7</f>
        <v>179381.4532604222</v>
      </c>
      <c r="F8" s="24">
        <f>IF(E8&lt;=0.005,0,MIN(E8*(1+D8/12),IF(OR(Hipoteca!$C$8="Reducir cuota",D8&lt;&gt;D7),PMT(D8/12,K8,-E8),F7)))</f>
        <v>758.887260713011</v>
      </c>
      <c r="G8" s="24">
        <f>E8*D8/12</f>
        <v>448.4536331510555</v>
      </c>
      <c r="H8" s="24">
        <f>IF(E8&lt;=0.005,0,MIN(E8,F8-G8))</f>
        <v>310.43362756195546</v>
      </c>
      <c r="I8" s="24">
        <f>MIN(E8-H8,SUMPRODUCT((YEAR(Hipoteca!$H$4:$H$15)=YEAR(C8))*(MONTH(Hipoteca!$H$4:$H$15)=MONTH(C8))*(Hipoteca!$H$4:$H$15&lt;&gt;"")*Hipoteca!$I$4:$I$15))</f>
        <v>0</v>
      </c>
      <c r="J8" s="24">
        <f>MAX(0,E8-H8-I8)</f>
        <v>179071.01963286023</v>
      </c>
      <c r="K8" s="21">
        <f>IF(E8&lt;=0.005,0,IF(Hipoteca!$C$8="Reducir cuota",$K$6-(B8-1),IFERROR(MAX(1,ROUNDUP(NPER(D7/12,-F7,E8),0)),$K$6-(B8-1))))</f>
        <v>359</v>
      </c>
      <c r="L8" s="21">
        <f>YEAR(C8)</f>
        <v>2027</v>
      </c>
      <c r="N8" s="25">
        <f>R7</f>
        <v>179381.4532604222</v>
      </c>
      <c r="O8" s="25">
        <f>IF(N8&lt;=0.005,0,IF(D8&lt;&gt;D7,PMT(D8/12,Hipoteca!$C$5*12-(B8-1),-N8),O7))</f>
        <v>758.887260713011</v>
      </c>
      <c r="P8" s="25">
        <f>N8*D8/12</f>
        <v>448.4536331510555</v>
      </c>
      <c r="Q8" s="25">
        <f>IF(N8&lt;=0.005,0,MIN(N8,O8-P8))</f>
        <v>310.43362756195546</v>
      </c>
      <c r="R8" s="25">
        <f>MAX(0,N8-Q8)</f>
        <v>179071.01963286023</v>
      </c>
    </row>
    <row r="9" spans="2:18" ht="18" customHeight="1">
      <c r="B9" s="21">
        <f>ROW()-5</f>
        <v>4</v>
      </c>
      <c r="C9" s="22">
        <f>EDATE(Hipoteca!$C$7,B9-1)</f>
        <v>46419.0</v>
      </c>
      <c r="D9" s="23">
        <f>IFERROR(LOOKUP(2,1/((Hipoteca!$E$4:$E$9&lt;&gt;"")*(Hipoteca!$E$4:$E$9&lt;=C9)),Hipoteca!$F$4:$F$9),Hipoteca!$C$6)</f>
        <v>0.03</v>
      </c>
      <c r="E9" s="24">
        <f>J8</f>
        <v>179071.01963286023</v>
      </c>
      <c r="F9" s="24">
        <f>IF(E9&lt;=0.005,0,MIN(E9*(1+D9/12),IF(OR(Hipoteca!$C$8="Reducir cuota",D9&lt;&gt;D8),PMT(D9/12,K9,-E9),F8)))</f>
        <v>758.887260713011</v>
      </c>
      <c r="G9" s="24">
        <f>E9*D9/12</f>
        <v>447.67754908215056</v>
      </c>
      <c r="H9" s="24">
        <f>IF(E9&lt;=0.005,0,MIN(E9,F9-G9))</f>
        <v>311.2097116308604</v>
      </c>
      <c r="I9" s="24">
        <f>MIN(E9-H9,SUMPRODUCT((YEAR(Hipoteca!$H$4:$H$15)=YEAR(C9))*(MONTH(Hipoteca!$H$4:$H$15)=MONTH(C9))*(Hipoteca!$H$4:$H$15&lt;&gt;"")*Hipoteca!$I$4:$I$15))</f>
        <v>0</v>
      </c>
      <c r="J9" s="24">
        <f>MAX(0,E9-H9-I9)</f>
        <v>178759.80992122937</v>
      </c>
      <c r="K9" s="21">
        <f>IF(E9&lt;=0.005,0,IF(Hipoteca!$C$8="Reducir cuota",$K$6-(B9-1),IFERROR(MAX(1,ROUNDUP(NPER(D8/12,-F8,E9),0)),$K$6-(B9-1))))</f>
        <v>358</v>
      </c>
      <c r="L9" s="21">
        <f>YEAR(C9)</f>
        <v>2027</v>
      </c>
      <c r="N9" s="25">
        <f>R8</f>
        <v>179071.01963286023</v>
      </c>
      <c r="O9" s="25">
        <f>IF(N9&lt;=0.005,0,IF(D9&lt;&gt;D8,PMT(D9/12,Hipoteca!$C$5*12-(B9-1),-N9),O8))</f>
        <v>758.887260713011</v>
      </c>
      <c r="P9" s="25">
        <f>N9*D9/12</f>
        <v>447.67754908215056</v>
      </c>
      <c r="Q9" s="25">
        <f>IF(N9&lt;=0.005,0,MIN(N9,O9-P9))</f>
        <v>311.2097116308604</v>
      </c>
      <c r="R9" s="25">
        <f>MAX(0,N9-Q9)</f>
        <v>178759.80992122937</v>
      </c>
    </row>
    <row r="10" spans="2:18" ht="18" customHeight="1">
      <c r="B10" s="21">
        <f>ROW()-5</f>
        <v>5</v>
      </c>
      <c r="C10" s="22">
        <f>EDATE(Hipoteca!$C$7,B10-1)</f>
        <v>46447.0</v>
      </c>
      <c r="D10" s="23">
        <f>IFERROR(LOOKUP(2,1/((Hipoteca!$E$4:$E$9&lt;&gt;"")*(Hipoteca!$E$4:$E$9&lt;=C10)),Hipoteca!$F$4:$F$9),Hipoteca!$C$6)</f>
        <v>0.03</v>
      </c>
      <c r="E10" s="24">
        <f>J9</f>
        <v>178759.80992122937</v>
      </c>
      <c r="F10" s="24">
        <f>IF(E10&lt;=0.005,0,MIN(E10*(1+D10/12),IF(OR(Hipoteca!$C$8="Reducir cuota",D10&lt;&gt;D9),PMT(D10/12,K10,-E10),F9)))</f>
        <v>758.887260713011</v>
      </c>
      <c r="G10" s="24">
        <f>E10*D10/12</f>
        <v>446.89952480307346</v>
      </c>
      <c r="H10" s="24">
        <f>IF(E10&lt;=0.005,0,MIN(E10,F10-G10))</f>
        <v>311.9877359099375</v>
      </c>
      <c r="I10" s="24">
        <f>MIN(E10-H10,SUMPRODUCT((YEAR(Hipoteca!$H$4:$H$15)=YEAR(C10))*(MONTH(Hipoteca!$H$4:$H$15)=MONTH(C10))*(Hipoteca!$H$4:$H$15&lt;&gt;"")*Hipoteca!$I$4:$I$15))</f>
        <v>0</v>
      </c>
      <c r="J10" s="24">
        <f>MAX(0,E10-H10-I10)</f>
        <v>178447.82218531944</v>
      </c>
      <c r="K10" s="21">
        <f>IF(E10&lt;=0.005,0,IF(Hipoteca!$C$8="Reducir cuota",$K$6-(B10-1),IFERROR(MAX(1,ROUNDUP(NPER(D9/12,-F9,E10),0)),$K$6-(B10-1))))</f>
        <v>357</v>
      </c>
      <c r="L10" s="21">
        <f>YEAR(C10)</f>
        <v>2027</v>
      </c>
      <c r="N10" s="25">
        <f>R9</f>
        <v>178759.80992122937</v>
      </c>
      <c r="O10" s="25">
        <f>IF(N10&lt;=0.005,0,IF(D10&lt;&gt;D9,PMT(D10/12,Hipoteca!$C$5*12-(B10-1),-N10),O9))</f>
        <v>758.887260713011</v>
      </c>
      <c r="P10" s="25">
        <f>N10*D10/12</f>
        <v>446.89952480307346</v>
      </c>
      <c r="Q10" s="25">
        <f>IF(N10&lt;=0.005,0,MIN(N10,O10-P10))</f>
        <v>311.9877359099375</v>
      </c>
      <c r="R10" s="25">
        <f>MAX(0,N10-Q10)</f>
        <v>178447.82218531944</v>
      </c>
    </row>
    <row r="11" spans="2:18" ht="18" customHeight="1">
      <c r="B11" s="21">
        <f>ROW()-5</f>
        <v>6</v>
      </c>
      <c r="C11" s="22">
        <f>EDATE(Hipoteca!$C$7,B11-1)</f>
        <v>46478.0</v>
      </c>
      <c r="D11" s="23">
        <f>IFERROR(LOOKUP(2,1/((Hipoteca!$E$4:$E$9&lt;&gt;"")*(Hipoteca!$E$4:$E$9&lt;=C11)),Hipoteca!$F$4:$F$9),Hipoteca!$C$6)</f>
        <v>0.03</v>
      </c>
      <c r="E11" s="24">
        <f>J10</f>
        <v>178447.82218531944</v>
      </c>
      <c r="F11" s="24">
        <f>IF(E11&lt;=0.005,0,MIN(E11*(1+D11/12),IF(OR(Hipoteca!$C$8="Reducir cuota",D11&lt;&gt;D10),PMT(D11/12,K11,-E11),F10)))</f>
        <v>758.887260713011</v>
      </c>
      <c r="G11" s="24">
        <f>E11*D11/12</f>
        <v>446.1195554632986</v>
      </c>
      <c r="H11" s="24">
        <f>IF(E11&lt;=0.005,0,MIN(E11,F11-G11))</f>
        <v>312.7677052497124</v>
      </c>
      <c r="I11" s="24">
        <f>MIN(E11-H11,SUMPRODUCT((YEAR(Hipoteca!$H$4:$H$15)=YEAR(C11))*(MONTH(Hipoteca!$H$4:$H$15)=MONTH(C11))*(Hipoteca!$H$4:$H$15&lt;&gt;"")*Hipoteca!$I$4:$I$15))</f>
        <v>0</v>
      </c>
      <c r="J11" s="24">
        <f>MAX(0,E11-H11-I11)</f>
        <v>178135.05448006972</v>
      </c>
      <c r="K11" s="21">
        <f>IF(E11&lt;=0.005,0,IF(Hipoteca!$C$8="Reducir cuota",$K$6-(B11-1),IFERROR(MAX(1,ROUNDUP(NPER(D10/12,-F10,E11),0)),$K$6-(B11-1))))</f>
        <v>356</v>
      </c>
      <c r="L11" s="21">
        <f>YEAR(C11)</f>
        <v>2027</v>
      </c>
      <c r="N11" s="25">
        <f>R10</f>
        <v>178447.82218531944</v>
      </c>
      <c r="O11" s="25">
        <f>IF(N11&lt;=0.005,0,IF(D11&lt;&gt;D10,PMT(D11/12,Hipoteca!$C$5*12-(B11-1),-N11),O10))</f>
        <v>758.887260713011</v>
      </c>
      <c r="P11" s="25">
        <f>N11*D11/12</f>
        <v>446.1195554632986</v>
      </c>
      <c r="Q11" s="25">
        <f>IF(N11&lt;=0.005,0,MIN(N11,O11-P11))</f>
        <v>312.7677052497124</v>
      </c>
      <c r="R11" s="25">
        <f>MAX(0,N11-Q11)</f>
        <v>178135.05448006972</v>
      </c>
    </row>
    <row r="12" spans="2:18" ht="18" customHeight="1">
      <c r="B12" s="21">
        <f>ROW()-5</f>
        <v>7</v>
      </c>
      <c r="C12" s="22">
        <f>EDATE(Hipoteca!$C$7,B12-1)</f>
        <v>46508.0</v>
      </c>
      <c r="D12" s="23">
        <f>IFERROR(LOOKUP(2,1/((Hipoteca!$E$4:$E$9&lt;&gt;"")*(Hipoteca!$E$4:$E$9&lt;=C12)),Hipoteca!$F$4:$F$9),Hipoteca!$C$6)</f>
        <v>0.03</v>
      </c>
      <c r="E12" s="24">
        <f>J11</f>
        <v>178135.05448006972</v>
      </c>
      <c r="F12" s="24">
        <f>IF(E12&lt;=0.005,0,MIN(E12*(1+D12/12),IF(OR(Hipoteca!$C$8="Reducir cuota",D12&lt;&gt;D11),PMT(D12/12,K12,-E12),F11)))</f>
        <v>758.887260713011</v>
      </c>
      <c r="G12" s="24">
        <f>E12*D12/12</f>
        <v>445.3376362001743</v>
      </c>
      <c r="H12" s="24">
        <f>IF(E12&lt;=0.005,0,MIN(E12,F12-G12))</f>
        <v>313.54962451283666</v>
      </c>
      <c r="I12" s="24">
        <f>MIN(E12-H12,SUMPRODUCT((YEAR(Hipoteca!$H$4:$H$15)=YEAR(C12))*(MONTH(Hipoteca!$H$4:$H$15)=MONTH(C12))*(Hipoteca!$H$4:$H$15&lt;&gt;"")*Hipoteca!$I$4:$I$15))</f>
        <v>0</v>
      </c>
      <c r="J12" s="24">
        <f>MAX(0,E12-H12-I12)</f>
        <v>177821.50485555688</v>
      </c>
      <c r="K12" s="21">
        <f>IF(E12&lt;=0.005,0,IF(Hipoteca!$C$8="Reducir cuota",$K$6-(B12-1),IFERROR(MAX(1,ROUNDUP(NPER(D11/12,-F11,E12),0)),$K$6-(B12-1))))</f>
        <v>355</v>
      </c>
      <c r="L12" s="21">
        <f>YEAR(C12)</f>
        <v>2027</v>
      </c>
      <c r="N12" s="25">
        <f>R11</f>
        <v>178135.05448006972</v>
      </c>
      <c r="O12" s="25">
        <f>IF(N12&lt;=0.005,0,IF(D12&lt;&gt;D11,PMT(D12/12,Hipoteca!$C$5*12-(B12-1),-N12),O11))</f>
        <v>758.887260713011</v>
      </c>
      <c r="P12" s="25">
        <f>N12*D12/12</f>
        <v>445.3376362001743</v>
      </c>
      <c r="Q12" s="25">
        <f>IF(N12&lt;=0.005,0,MIN(N12,O12-P12))</f>
        <v>313.54962451283666</v>
      </c>
      <c r="R12" s="25">
        <f>MAX(0,N12-Q12)</f>
        <v>177821.50485555688</v>
      </c>
    </row>
    <row r="13" spans="2:18" ht="18" customHeight="1">
      <c r="B13" s="21">
        <f>ROW()-5</f>
        <v>8</v>
      </c>
      <c r="C13" s="22">
        <f>EDATE(Hipoteca!$C$7,B13-1)</f>
        <v>46539.0</v>
      </c>
      <c r="D13" s="23">
        <f>IFERROR(LOOKUP(2,1/((Hipoteca!$E$4:$E$9&lt;&gt;"")*(Hipoteca!$E$4:$E$9&lt;=C13)),Hipoteca!$F$4:$F$9),Hipoteca!$C$6)</f>
        <v>0.03</v>
      </c>
      <c r="E13" s="24">
        <f>J12</f>
        <v>177821.50485555688</v>
      </c>
      <c r="F13" s="24">
        <f>IF(E13&lt;=0.005,0,MIN(E13*(1+D13/12),IF(OR(Hipoteca!$C$8="Reducir cuota",D13&lt;&gt;D12),PMT(D13/12,K13,-E13),F12)))</f>
        <v>758.887260713011</v>
      </c>
      <c r="G13" s="24">
        <f>E13*D13/12</f>
        <v>444.5537621388922</v>
      </c>
      <c r="H13" s="24">
        <f>IF(E13&lt;=0.005,0,MIN(E13,F13-G13))</f>
        <v>314.3334985741188</v>
      </c>
      <c r="I13" s="24">
        <f>MIN(E13-H13,SUMPRODUCT((YEAR(Hipoteca!$H$4:$H$15)=YEAR(C13))*(MONTH(Hipoteca!$H$4:$H$15)=MONTH(C13))*(Hipoteca!$H$4:$H$15&lt;&gt;"")*Hipoteca!$I$4:$I$15))</f>
        <v>5000</v>
      </c>
      <c r="J13" s="24">
        <f>MAX(0,E13-H13-I13)</f>
        <v>172507.17135698276</v>
      </c>
      <c r="K13" s="21">
        <f>IF(E13&lt;=0.005,0,IF(Hipoteca!$C$8="Reducir cuota",$K$6-(B13-1),IFERROR(MAX(1,ROUNDUP(NPER(D12/12,-F12,E13),0)),$K$6-(B13-1))))</f>
        <v>354</v>
      </c>
      <c r="L13" s="21">
        <f>YEAR(C13)</f>
        <v>2027</v>
      </c>
      <c r="N13" s="25">
        <f>R12</f>
        <v>177821.50485555688</v>
      </c>
      <c r="O13" s="25">
        <f>IF(N13&lt;=0.005,0,IF(D13&lt;&gt;D12,PMT(D13/12,Hipoteca!$C$5*12-(B13-1),-N13),O12))</f>
        <v>758.887260713011</v>
      </c>
      <c r="P13" s="25">
        <f>N13*D13/12</f>
        <v>444.5537621388922</v>
      </c>
      <c r="Q13" s="25">
        <f>IF(N13&lt;=0.005,0,MIN(N13,O13-P13))</f>
        <v>314.3334985741188</v>
      </c>
      <c r="R13" s="25">
        <f>MAX(0,N13-Q13)</f>
        <v>177507.17135698276</v>
      </c>
    </row>
    <row r="14" spans="2:18" ht="18" customHeight="1">
      <c r="B14" s="21">
        <f>ROW()-5</f>
        <v>9</v>
      </c>
      <c r="C14" s="22">
        <f>EDATE(Hipoteca!$C$7,B14-1)</f>
        <v>46569.0</v>
      </c>
      <c r="D14" s="23">
        <f>IFERROR(LOOKUP(2,1/((Hipoteca!$E$4:$E$9&lt;&gt;"")*(Hipoteca!$E$4:$E$9&lt;=C14)),Hipoteca!$F$4:$F$9),Hipoteca!$C$6)</f>
        <v>0.03</v>
      </c>
      <c r="E14" s="24">
        <f>J13</f>
        <v>172507.17135698276</v>
      </c>
      <c r="F14" s="24">
        <f>IF(E14&lt;=0.005,0,MIN(E14*(1+D14/12),IF(OR(Hipoteca!$C$8="Reducir cuota",D14&lt;&gt;D13),PMT(D14/12,K14,-E14),F13)))</f>
        <v>758.887260713011</v>
      </c>
      <c r="G14" s="24">
        <f>E14*D14/12</f>
        <v>431.2679283924569</v>
      </c>
      <c r="H14" s="24">
        <f>IF(E14&lt;=0.005,0,MIN(E14,F14-G14))</f>
        <v>327.61933232055407</v>
      </c>
      <c r="I14" s="24">
        <f>MIN(E14-H14,SUMPRODUCT((YEAR(Hipoteca!$H$4:$H$15)=YEAR(C14))*(MONTH(Hipoteca!$H$4:$H$15)=MONTH(C14))*(Hipoteca!$H$4:$H$15&lt;&gt;"")*Hipoteca!$I$4:$I$15))</f>
        <v>0</v>
      </c>
      <c r="J14" s="24">
        <f>MAX(0,E14-H14-I14)</f>
        <v>172179.5520246622</v>
      </c>
      <c r="K14" s="21">
        <f>IF(E14&lt;=0.005,0,IF(Hipoteca!$C$8="Reducir cuota",$K$6-(B14-1),IFERROR(MAX(1,ROUNDUP(NPER(D13/12,-F13,E14),0)),$K$6-(B14-1))))</f>
        <v>337</v>
      </c>
      <c r="L14" s="21">
        <f>YEAR(C14)</f>
        <v>2027</v>
      </c>
      <c r="N14" s="25">
        <f>R13</f>
        <v>177507.17135698276</v>
      </c>
      <c r="O14" s="25">
        <f>IF(N14&lt;=0.005,0,IF(D14&lt;&gt;D13,PMT(D14/12,Hipoteca!$C$5*12-(B14-1),-N14),O13))</f>
        <v>758.887260713011</v>
      </c>
      <c r="P14" s="25">
        <f>N14*D14/12</f>
        <v>443.7679283924569</v>
      </c>
      <c r="Q14" s="25">
        <f>IF(N14&lt;=0.005,0,MIN(N14,O14-P14))</f>
        <v>315.11933232055407</v>
      </c>
      <c r="R14" s="25">
        <f>MAX(0,N14-Q14)</f>
        <v>177192.0520246622</v>
      </c>
    </row>
    <row r="15" spans="2:18" ht="18" customHeight="1">
      <c r="B15" s="21">
        <f>ROW()-5</f>
        <v>10</v>
      </c>
      <c r="C15" s="22">
        <f>EDATE(Hipoteca!$C$7,B15-1)</f>
        <v>46600.0</v>
      </c>
      <c r="D15" s="23">
        <f>IFERROR(LOOKUP(2,1/((Hipoteca!$E$4:$E$9&lt;&gt;"")*(Hipoteca!$E$4:$E$9&lt;=C15)),Hipoteca!$F$4:$F$9),Hipoteca!$C$6)</f>
        <v>0.03</v>
      </c>
      <c r="E15" s="24">
        <f>J14</f>
        <v>172179.5520246622</v>
      </c>
      <c r="F15" s="24">
        <f>IF(E15&lt;=0.005,0,MIN(E15*(1+D15/12),IF(OR(Hipoteca!$C$8="Reducir cuota",D15&lt;&gt;D14),PMT(D15/12,K15,-E15),F14)))</f>
        <v>758.887260713011</v>
      </c>
      <c r="G15" s="24">
        <f>E15*D15/12</f>
        <v>430.4488800616555</v>
      </c>
      <c r="H15" s="24">
        <f>IF(E15&lt;=0.005,0,MIN(E15,F15-G15))</f>
        <v>328.4383806513555</v>
      </c>
      <c r="I15" s="24">
        <f>MIN(E15-H15,SUMPRODUCT((YEAR(Hipoteca!$H$4:$H$15)=YEAR(C15))*(MONTH(Hipoteca!$H$4:$H$15)=MONTH(C15))*(Hipoteca!$H$4:$H$15&lt;&gt;"")*Hipoteca!$I$4:$I$15))</f>
        <v>0</v>
      </c>
      <c r="J15" s="24">
        <f>MAX(0,E15-H15-I15)</f>
        <v>171851.11364401085</v>
      </c>
      <c r="K15" s="21">
        <f>IF(E15&lt;=0.005,0,IF(Hipoteca!$C$8="Reducir cuota",$K$6-(B15-1),IFERROR(MAX(1,ROUNDUP(NPER(D14/12,-F14,E15),0)),$K$6-(B15-1))))</f>
        <v>336</v>
      </c>
      <c r="L15" s="21">
        <f>YEAR(C15)</f>
        <v>2027</v>
      </c>
      <c r="N15" s="25">
        <f>R14</f>
        <v>177192.0520246622</v>
      </c>
      <c r="O15" s="25">
        <f>IF(N15&lt;=0.005,0,IF(D15&lt;&gt;D14,PMT(D15/12,Hipoteca!$C$5*12-(B15-1),-N15),O14))</f>
        <v>758.887260713011</v>
      </c>
      <c r="P15" s="25">
        <f>N15*D15/12</f>
        <v>442.9801300616555</v>
      </c>
      <c r="Q15" s="25">
        <f>IF(N15&lt;=0.005,0,MIN(N15,O15-P15))</f>
        <v>315.9071306513555</v>
      </c>
      <c r="R15" s="25">
        <f>MAX(0,N15-Q15)</f>
        <v>176876.14489401085</v>
      </c>
    </row>
    <row r="16" spans="2:18" ht="18" customHeight="1">
      <c r="B16" s="21">
        <f>ROW()-5</f>
        <v>11</v>
      </c>
      <c r="C16" s="22">
        <f>EDATE(Hipoteca!$C$7,B16-1)</f>
        <v>46631.0</v>
      </c>
      <c r="D16" s="23">
        <f>IFERROR(LOOKUP(2,1/((Hipoteca!$E$4:$E$9&lt;&gt;"")*(Hipoteca!$E$4:$E$9&lt;=C16)),Hipoteca!$F$4:$F$9),Hipoteca!$C$6)</f>
        <v>0.03</v>
      </c>
      <c r="E16" s="24">
        <f>J15</f>
        <v>171851.11364401085</v>
      </c>
      <c r="F16" s="24">
        <f>IF(E16&lt;=0.005,0,MIN(E16*(1+D16/12),IF(OR(Hipoteca!$C$8="Reducir cuota",D16&lt;&gt;D15),PMT(D16/12,K16,-E16),F15)))</f>
        <v>758.887260713011</v>
      </c>
      <c r="G16" s="24">
        <f>E16*D16/12</f>
        <v>429.6277841100271</v>
      </c>
      <c r="H16" s="24">
        <f>IF(E16&lt;=0.005,0,MIN(E16,F16-G16))</f>
        <v>329.25947660298385</v>
      </c>
      <c r="I16" s="24">
        <f>MIN(E16-H16,SUMPRODUCT((YEAR(Hipoteca!$H$4:$H$15)=YEAR(C16))*(MONTH(Hipoteca!$H$4:$H$15)=MONTH(C16))*(Hipoteca!$H$4:$H$15&lt;&gt;"")*Hipoteca!$I$4:$I$15))</f>
        <v>0</v>
      </c>
      <c r="J16" s="24">
        <f>MAX(0,E16-H16-I16)</f>
        <v>171521.85416740787</v>
      </c>
      <c r="K16" s="21">
        <f>IF(E16&lt;=0.005,0,IF(Hipoteca!$C$8="Reducir cuota",$K$6-(B16-1),IFERROR(MAX(1,ROUNDUP(NPER(D15/12,-F15,E16),0)),$K$6-(B16-1))))</f>
        <v>335</v>
      </c>
      <c r="L16" s="21">
        <f>YEAR(C16)</f>
        <v>2027</v>
      </c>
      <c r="N16" s="25">
        <f>R15</f>
        <v>176876.14489401085</v>
      </c>
      <c r="O16" s="25">
        <f>IF(N16&lt;=0.005,0,IF(D16&lt;&gt;D15,PMT(D16/12,Hipoteca!$C$5*12-(B16-1),-N16),O15))</f>
        <v>758.887260713011</v>
      </c>
      <c r="P16" s="25">
        <f>N16*D16/12</f>
        <v>442.1903622350271</v>
      </c>
      <c r="Q16" s="25">
        <f>IF(N16&lt;=0.005,0,MIN(N16,O16-P16))</f>
        <v>316.69689847798384</v>
      </c>
      <c r="R16" s="25">
        <f>MAX(0,N16-Q16)</f>
        <v>176559.44799553286</v>
      </c>
    </row>
    <row r="17" spans="2:18" ht="18" customHeight="1">
      <c r="B17" s="21">
        <f>ROW()-5</f>
        <v>12</v>
      </c>
      <c r="C17" s="22">
        <f>EDATE(Hipoteca!$C$7,B17-1)</f>
        <v>46661.0</v>
      </c>
      <c r="D17" s="23">
        <f>IFERROR(LOOKUP(2,1/((Hipoteca!$E$4:$E$9&lt;&gt;"")*(Hipoteca!$E$4:$E$9&lt;=C17)),Hipoteca!$F$4:$F$9),Hipoteca!$C$6)</f>
        <v>0.03</v>
      </c>
      <c r="E17" s="24">
        <f>J16</f>
        <v>171521.85416740787</v>
      </c>
      <c r="F17" s="24">
        <f>IF(E17&lt;=0.005,0,MIN(E17*(1+D17/12),IF(OR(Hipoteca!$C$8="Reducir cuota",D17&lt;&gt;D16),PMT(D17/12,K17,-E17),F16)))</f>
        <v>758.887260713011</v>
      </c>
      <c r="G17" s="24">
        <f>E17*D17/12</f>
        <v>428.80463541851964</v>
      </c>
      <c r="H17" s="24">
        <f>IF(E17&lt;=0.005,0,MIN(E17,F17-G17))</f>
        <v>330.0826252944913</v>
      </c>
      <c r="I17" s="24">
        <f>MIN(E17-H17,SUMPRODUCT((YEAR(Hipoteca!$H$4:$H$15)=YEAR(C17))*(MONTH(Hipoteca!$H$4:$H$15)=MONTH(C17))*(Hipoteca!$H$4:$H$15&lt;&gt;"")*Hipoteca!$I$4:$I$15))</f>
        <v>0</v>
      </c>
      <c r="J17" s="24">
        <f>MAX(0,E17-H17-I17)</f>
        <v>171191.7715421134</v>
      </c>
      <c r="K17" s="21">
        <f>IF(E17&lt;=0.005,0,IF(Hipoteca!$C$8="Reducir cuota",$K$6-(B17-1),IFERROR(MAX(1,ROUNDUP(NPER(D16/12,-F16,E17),0)),$K$6-(B17-1))))</f>
        <v>334</v>
      </c>
      <c r="L17" s="21">
        <f>YEAR(C17)</f>
        <v>2027</v>
      </c>
      <c r="N17" s="25">
        <f>R16</f>
        <v>176559.44799553286</v>
      </c>
      <c r="O17" s="25">
        <f>IF(N17&lt;=0.005,0,IF(D17&lt;&gt;D16,PMT(D17/12,Hipoteca!$C$5*12-(B17-1),-N17),O16))</f>
        <v>758.887260713011</v>
      </c>
      <c r="P17" s="25">
        <f>N17*D17/12</f>
        <v>441.3986199888321</v>
      </c>
      <c r="Q17" s="25">
        <f>IF(N17&lt;=0.005,0,MIN(N17,O17-P17))</f>
        <v>317.4886407241789</v>
      </c>
      <c r="R17" s="25">
        <f>MAX(0,N17-Q17)</f>
        <v>176241.95935480867</v>
      </c>
    </row>
    <row r="18" spans="2:18" ht="18" customHeight="1">
      <c r="B18" s="21">
        <f>ROW()-5</f>
        <v>13</v>
      </c>
      <c r="C18" s="22">
        <f>EDATE(Hipoteca!$C$7,B18-1)</f>
        <v>46692.0</v>
      </c>
      <c r="D18" s="23">
        <f>IFERROR(LOOKUP(2,1/((Hipoteca!$E$4:$E$9&lt;&gt;"")*(Hipoteca!$E$4:$E$9&lt;=C18)),Hipoteca!$F$4:$F$9),Hipoteca!$C$6)</f>
        <v>0.026</v>
      </c>
      <c r="E18" s="24">
        <f>J17</f>
        <v>171191.7715421134</v>
      </c>
      <c r="F18" s="24">
        <f>IF(E18&lt;=0.005,0,MIN(E18*(1+D18/12),IF(OR(Hipoteca!$C$8="Reducir cuota",D18&lt;&gt;D17),PMT(D18/12,K18,-E18),F17)))</f>
        <v>722.1905506721168</v>
      </c>
      <c r="G18" s="24">
        <f>E18*D18/12</f>
        <v>370.9155050079123</v>
      </c>
      <c r="H18" s="24">
        <f>IF(E18&lt;=0.005,0,MIN(E18,F18-G18))</f>
        <v>351.2750456642045</v>
      </c>
      <c r="I18" s="24">
        <f>MIN(E18-H18,SUMPRODUCT((YEAR(Hipoteca!$H$4:$H$15)=YEAR(C18))*(MONTH(Hipoteca!$H$4:$H$15)=MONTH(C18))*(Hipoteca!$H$4:$H$15&lt;&gt;"")*Hipoteca!$I$4:$I$15))</f>
        <v>0</v>
      </c>
      <c r="J18" s="24">
        <f>MAX(0,E18-H18-I18)</f>
        <v>170840.4964964492</v>
      </c>
      <c r="K18" s="21">
        <f>IF(E18&lt;=0.005,0,IF(Hipoteca!$C$8="Reducir cuota",$K$6-(B18-1),IFERROR(MAX(1,ROUNDUP(NPER(D17/12,-F17,E18),0)),$K$6-(B18-1))))</f>
        <v>333</v>
      </c>
      <c r="L18" s="21">
        <f>YEAR(C18)</f>
        <v>2027</v>
      </c>
      <c r="N18" s="25">
        <f>R17</f>
        <v>176241.95935480867</v>
      </c>
      <c r="O18" s="25">
        <f>IF(N18&lt;=0.005,0,IF(D18&lt;&gt;D17,PMT(D18/12,Hipoteca!$C$5*12-(B18-1),-N18),O17))</f>
        <v>721.6634896813672</v>
      </c>
      <c r="P18" s="25">
        <f>N18*D18/12</f>
        <v>381.8575786020854</v>
      </c>
      <c r="Q18" s="25">
        <f>IF(N18&lt;=0.005,0,MIN(N18,O18-P18))</f>
        <v>339.80591107928177</v>
      </c>
      <c r="R18" s="25">
        <f>MAX(0,N18-Q18)</f>
        <v>175902.1534437294</v>
      </c>
    </row>
    <row r="19" spans="2:18" ht="18" customHeight="1">
      <c r="B19" s="21">
        <f>ROW()-5</f>
        <v>14</v>
      </c>
      <c r="C19" s="22">
        <f>EDATE(Hipoteca!$C$7,B19-1)</f>
        <v>46722.0</v>
      </c>
      <c r="D19" s="23">
        <f>IFERROR(LOOKUP(2,1/((Hipoteca!$E$4:$E$9&lt;&gt;"")*(Hipoteca!$E$4:$E$9&lt;=C19)),Hipoteca!$F$4:$F$9),Hipoteca!$C$6)</f>
        <v>0.026</v>
      </c>
      <c r="E19" s="24">
        <f>J18</f>
        <v>170840.4964964492</v>
      </c>
      <c r="F19" s="24">
        <f>IF(E19&lt;=0.005,0,MIN(E19*(1+D19/12),IF(OR(Hipoteca!$C$8="Reducir cuota",D19&lt;&gt;D18),PMT(D19/12,K19,-E19),F18)))</f>
        <v>722.1905506721168</v>
      </c>
      <c r="G19" s="24">
        <f>E19*D19/12</f>
        <v>370.15440907563993</v>
      </c>
      <c r="H19" s="24">
        <f>IF(E19&lt;=0.005,0,MIN(E19,F19-G19))</f>
        <v>352.0361415964769</v>
      </c>
      <c r="I19" s="24">
        <f>MIN(E19-H19,SUMPRODUCT((YEAR(Hipoteca!$H$4:$H$15)=YEAR(C19))*(MONTH(Hipoteca!$H$4:$H$15)=MONTH(C19))*(Hipoteca!$H$4:$H$15&lt;&gt;"")*Hipoteca!$I$4:$I$15))</f>
        <v>0</v>
      </c>
      <c r="J19" s="24">
        <f>MAX(0,E19-H19-I19)</f>
        <v>170488.46035485272</v>
      </c>
      <c r="K19" s="21">
        <f>IF(E19&lt;=0.005,0,IF(Hipoteca!$C$8="Reducir cuota",$K$6-(B19-1),IFERROR(MAX(1,ROUNDUP(NPER(D18/12,-F18,E19),0)),$K$6-(B19-1))))</f>
        <v>333</v>
      </c>
      <c r="L19" s="21">
        <f>YEAR(C19)</f>
        <v>2027</v>
      </c>
      <c r="N19" s="25">
        <f>R18</f>
        <v>175902.1534437294</v>
      </c>
      <c r="O19" s="25">
        <f>IF(N19&lt;=0.005,0,IF(D19&lt;&gt;D18,PMT(D19/12,Hipoteca!$C$5*12-(B19-1),-N19),O18))</f>
        <v>721.6634896813672</v>
      </c>
      <c r="P19" s="25">
        <f>N19*D19/12</f>
        <v>381.12133246141366</v>
      </c>
      <c r="Q19" s="25">
        <f>IF(N19&lt;=0.005,0,MIN(N19,O19-P19))</f>
        <v>340.54215721995354</v>
      </c>
      <c r="R19" s="25">
        <f>MAX(0,N19-Q19)</f>
        <v>175561.61128650943</v>
      </c>
    </row>
    <row r="20" spans="2:18" ht="18" customHeight="1">
      <c r="B20" s="21">
        <f>ROW()-5</f>
        <v>15</v>
      </c>
      <c r="C20" s="22">
        <f>EDATE(Hipoteca!$C$7,B20-1)</f>
        <v>46753.0</v>
      </c>
      <c r="D20" s="23">
        <f>IFERROR(LOOKUP(2,1/((Hipoteca!$E$4:$E$9&lt;&gt;"")*(Hipoteca!$E$4:$E$9&lt;=C20)),Hipoteca!$F$4:$F$9),Hipoteca!$C$6)</f>
        <v>0.026</v>
      </c>
      <c r="E20" s="24">
        <f>J19</f>
        <v>170488.46035485272</v>
      </c>
      <c r="F20" s="24">
        <f>IF(E20&lt;=0.005,0,MIN(E20*(1+D20/12),IF(OR(Hipoteca!$C$8="Reducir cuota",D20&lt;&gt;D19),PMT(D20/12,K20,-E20),F19)))</f>
        <v>722.1905506721168</v>
      </c>
      <c r="G20" s="24">
        <f>E20*D20/12</f>
        <v>369.39166410218087</v>
      </c>
      <c r="H20" s="24">
        <f>IF(E20&lt;=0.005,0,MIN(E20,F20-G20))</f>
        <v>352.798886569936</v>
      </c>
      <c r="I20" s="24">
        <f>MIN(E20-H20,SUMPRODUCT((YEAR(Hipoteca!$H$4:$H$15)=YEAR(C20))*(MONTH(Hipoteca!$H$4:$H$15)=MONTH(C20))*(Hipoteca!$H$4:$H$15&lt;&gt;"")*Hipoteca!$I$4:$I$15))</f>
        <v>0</v>
      </c>
      <c r="J20" s="24">
        <f>MAX(0,E20-H20-I20)</f>
        <v>170135.66146828278</v>
      </c>
      <c r="K20" s="21">
        <f>IF(E20&lt;=0.005,0,IF(Hipoteca!$C$8="Reducir cuota",$K$6-(B20-1),IFERROR(MAX(1,ROUNDUP(NPER(D19/12,-F19,E20),0)),$K$6-(B20-1))))</f>
        <v>332</v>
      </c>
      <c r="L20" s="21">
        <f>YEAR(C20)</f>
        <v>2028</v>
      </c>
      <c r="N20" s="25">
        <f>R19</f>
        <v>175561.61128650943</v>
      </c>
      <c r="O20" s="25">
        <f>IF(N20&lt;=0.005,0,IF(D20&lt;&gt;D19,PMT(D20/12,Hipoteca!$C$5*12-(B20-1),-N20),O19))</f>
        <v>721.6634896813672</v>
      </c>
      <c r="P20" s="25">
        <f>N20*D20/12</f>
        <v>380.38349112077043</v>
      </c>
      <c r="Q20" s="25">
        <f>IF(N20&lt;=0.005,0,MIN(N20,O20-P20))</f>
        <v>341.27999856059677</v>
      </c>
      <c r="R20" s="25">
        <f>MAX(0,N20-Q20)</f>
        <v>175220.33128794882</v>
      </c>
    </row>
    <row r="21" spans="2:18" ht="18" customHeight="1">
      <c r="B21" s="21">
        <f>ROW()-5</f>
        <v>16</v>
      </c>
      <c r="C21" s="22">
        <f>EDATE(Hipoteca!$C$7,B21-1)</f>
        <v>46784.0</v>
      </c>
      <c r="D21" s="23">
        <f>IFERROR(LOOKUP(2,1/((Hipoteca!$E$4:$E$9&lt;&gt;"")*(Hipoteca!$E$4:$E$9&lt;=C21)),Hipoteca!$F$4:$F$9),Hipoteca!$C$6)</f>
        <v>0.026</v>
      </c>
      <c r="E21" s="24">
        <f>J20</f>
        <v>170135.66146828278</v>
      </c>
      <c r="F21" s="24">
        <f>IF(E21&lt;=0.005,0,MIN(E21*(1+D21/12),IF(OR(Hipoteca!$C$8="Reducir cuota",D21&lt;&gt;D20),PMT(D21/12,K21,-E21),F20)))</f>
        <v>722.1905506721168</v>
      </c>
      <c r="G21" s="24">
        <f>E21*D21/12</f>
        <v>368.6272665146127</v>
      </c>
      <c r="H21" s="24">
        <f>IF(E21&lt;=0.005,0,MIN(E21,F21-G21))</f>
        <v>353.56328415750414</v>
      </c>
      <c r="I21" s="24">
        <f>MIN(E21-H21,SUMPRODUCT((YEAR(Hipoteca!$H$4:$H$15)=YEAR(C21))*(MONTH(Hipoteca!$H$4:$H$15)=MONTH(C21))*(Hipoteca!$H$4:$H$15&lt;&gt;"")*Hipoteca!$I$4:$I$15))</f>
        <v>0</v>
      </c>
      <c r="J21" s="24">
        <f>MAX(0,E21-H21-I21)</f>
        <v>169782.09818412527</v>
      </c>
      <c r="K21" s="21">
        <f>IF(E21&lt;=0.005,0,IF(Hipoteca!$C$8="Reducir cuota",$K$6-(B21-1),IFERROR(MAX(1,ROUNDUP(NPER(D20/12,-F20,E21),0)),$K$6-(B21-1))))</f>
        <v>331</v>
      </c>
      <c r="L21" s="21">
        <f>YEAR(C21)</f>
        <v>2028</v>
      </c>
      <c r="N21" s="25">
        <f>R20</f>
        <v>175220.33128794882</v>
      </c>
      <c r="O21" s="25">
        <f>IF(N21&lt;=0.005,0,IF(D21&lt;&gt;D20,PMT(D21/12,Hipoteca!$C$5*12-(B21-1),-N21),O20))</f>
        <v>721.6634896813672</v>
      </c>
      <c r="P21" s="25">
        <f>N21*D21/12</f>
        <v>379.6440511238891</v>
      </c>
      <c r="Q21" s="25">
        <f>IF(N21&lt;=0.005,0,MIN(N21,O21-P21))</f>
        <v>342.0194385574781</v>
      </c>
      <c r="R21" s="25">
        <f>MAX(0,N21-Q21)</f>
        <v>174878.31184939135</v>
      </c>
    </row>
    <row r="22" spans="2:18" ht="18" customHeight="1">
      <c r="B22" s="21">
        <f>ROW()-5</f>
        <v>17</v>
      </c>
      <c r="C22" s="22">
        <f>EDATE(Hipoteca!$C$7,B22-1)</f>
        <v>46813.0</v>
      </c>
      <c r="D22" s="23">
        <f>IFERROR(LOOKUP(2,1/((Hipoteca!$E$4:$E$9&lt;&gt;"")*(Hipoteca!$E$4:$E$9&lt;=C22)),Hipoteca!$F$4:$F$9),Hipoteca!$C$6)</f>
        <v>0.026</v>
      </c>
      <c r="E22" s="24">
        <f>J21</f>
        <v>169782.09818412527</v>
      </c>
      <c r="F22" s="24">
        <f>IF(E22&lt;=0.005,0,MIN(E22*(1+D22/12),IF(OR(Hipoteca!$C$8="Reducir cuota",D22&lt;&gt;D21),PMT(D22/12,K22,-E22),F21)))</f>
        <v>722.1905506721168</v>
      </c>
      <c r="G22" s="24">
        <f>E22*D22/12</f>
        <v>367.86121273227144</v>
      </c>
      <c r="H22" s="24">
        <f>IF(E22&lt;=0.005,0,MIN(E22,F22-G22))</f>
        <v>354.3293379398454</v>
      </c>
      <c r="I22" s="24">
        <f>MIN(E22-H22,SUMPRODUCT((YEAR(Hipoteca!$H$4:$H$15)=YEAR(C22))*(MONTH(Hipoteca!$H$4:$H$15)=MONTH(C22))*(Hipoteca!$H$4:$H$15&lt;&gt;"")*Hipoteca!$I$4:$I$15))</f>
        <v>0</v>
      </c>
      <c r="J22" s="24">
        <f>MAX(0,E22-H22-I22)</f>
        <v>169427.7688461854</v>
      </c>
      <c r="K22" s="21">
        <f>IF(E22&lt;=0.005,0,IF(Hipoteca!$C$8="Reducir cuota",$K$6-(B22-1),IFERROR(MAX(1,ROUNDUP(NPER(D21/12,-F21,E22),0)),$K$6-(B22-1))))</f>
        <v>330</v>
      </c>
      <c r="L22" s="21">
        <f>YEAR(C22)</f>
        <v>2028</v>
      </c>
      <c r="N22" s="25">
        <f>R21</f>
        <v>174878.31184939135</v>
      </c>
      <c r="O22" s="25">
        <f>IF(N22&lt;=0.005,0,IF(D22&lt;&gt;D21,PMT(D22/12,Hipoteca!$C$5*12-(B22-1),-N22),O21))</f>
        <v>721.6634896813672</v>
      </c>
      <c r="P22" s="25">
        <f>N22*D22/12</f>
        <v>378.9030090070146</v>
      </c>
      <c r="Q22" s="25">
        <f>IF(N22&lt;=0.005,0,MIN(N22,O22-P22))</f>
        <v>342.7604806743526</v>
      </c>
      <c r="R22" s="25">
        <f>MAX(0,N22-Q22)</f>
        <v>174535.551368717</v>
      </c>
    </row>
    <row r="23" spans="2:18" ht="18" customHeight="1">
      <c r="B23" s="21">
        <f>ROW()-5</f>
        <v>18</v>
      </c>
      <c r="C23" s="22">
        <f>EDATE(Hipoteca!$C$7,B23-1)</f>
        <v>46844.0</v>
      </c>
      <c r="D23" s="23">
        <f>IFERROR(LOOKUP(2,1/((Hipoteca!$E$4:$E$9&lt;&gt;"")*(Hipoteca!$E$4:$E$9&lt;=C23)),Hipoteca!$F$4:$F$9),Hipoteca!$C$6)</f>
        <v>0.026</v>
      </c>
      <c r="E23" s="24">
        <f>J22</f>
        <v>169427.7688461854</v>
      </c>
      <c r="F23" s="24">
        <f>IF(E23&lt;=0.005,0,MIN(E23*(1+D23/12),IF(OR(Hipoteca!$C$8="Reducir cuota",D23&lt;&gt;D22),PMT(D23/12,K23,-E23),F22)))</f>
        <v>722.1905506721168</v>
      </c>
      <c r="G23" s="24">
        <f>E23*D23/12</f>
        <v>367.09349916673506</v>
      </c>
      <c r="H23" s="24">
        <f>IF(E23&lt;=0.005,0,MIN(E23,F23-G23))</f>
        <v>355.0970515053818</v>
      </c>
      <c r="I23" s="24">
        <f>MIN(E23-H23,SUMPRODUCT((YEAR(Hipoteca!$H$4:$H$15)=YEAR(C23))*(MONTH(Hipoteca!$H$4:$H$15)=MONTH(C23))*(Hipoteca!$H$4:$H$15&lt;&gt;"")*Hipoteca!$I$4:$I$15))</f>
        <v>0</v>
      </c>
      <c r="J23" s="24">
        <f>MAX(0,E23-H23-I23)</f>
        <v>169072.67179468003</v>
      </c>
      <c r="K23" s="21">
        <f>IF(E23&lt;=0.005,0,IF(Hipoteca!$C$8="Reducir cuota",$K$6-(B23-1),IFERROR(MAX(1,ROUNDUP(NPER(D22/12,-F22,E23),0)),$K$6-(B23-1))))</f>
        <v>329</v>
      </c>
      <c r="L23" s="21">
        <f>YEAR(C23)</f>
        <v>2028</v>
      </c>
      <c r="N23" s="25">
        <f>R22</f>
        <v>174535.551368717</v>
      </c>
      <c r="O23" s="25">
        <f>IF(N23&lt;=0.005,0,IF(D23&lt;&gt;D22,PMT(D23/12,Hipoteca!$C$5*12-(B23-1),-N23),O22))</f>
        <v>721.6634896813672</v>
      </c>
      <c r="P23" s="25">
        <f>N23*D23/12</f>
        <v>378.16036129888676</v>
      </c>
      <c r="Q23" s="25">
        <f>IF(N23&lt;=0.005,0,MIN(N23,O23-P23))</f>
        <v>343.50312838248044</v>
      </c>
      <c r="R23" s="25">
        <f>MAX(0,N23-Q23)</f>
        <v>174192.0482403345</v>
      </c>
    </row>
    <row r="24" spans="2:18" ht="18" customHeight="1">
      <c r="B24" s="21">
        <f>ROW()-5</f>
        <v>19</v>
      </c>
      <c r="C24" s="22">
        <f>EDATE(Hipoteca!$C$7,B24-1)</f>
        <v>46874.0</v>
      </c>
      <c r="D24" s="23">
        <f>IFERROR(LOOKUP(2,1/((Hipoteca!$E$4:$E$9&lt;&gt;"")*(Hipoteca!$E$4:$E$9&lt;=C24)),Hipoteca!$F$4:$F$9),Hipoteca!$C$6)</f>
        <v>0.026</v>
      </c>
      <c r="E24" s="24">
        <f>J23</f>
        <v>169072.67179468003</v>
      </c>
      <c r="F24" s="24">
        <f>IF(E24&lt;=0.005,0,MIN(E24*(1+D24/12),IF(OR(Hipoteca!$C$8="Reducir cuota",D24&lt;&gt;D23),PMT(D24/12,K24,-E24),F23)))</f>
        <v>722.1905506721168</v>
      </c>
      <c r="G24" s="24">
        <f>E24*D24/12</f>
        <v>366.3241222218067</v>
      </c>
      <c r="H24" s="24">
        <f>IF(E24&lt;=0.005,0,MIN(E24,F24-G24))</f>
        <v>355.86642845031014</v>
      </c>
      <c r="I24" s="24">
        <f>MIN(E24-H24,SUMPRODUCT((YEAR(Hipoteca!$H$4:$H$15)=YEAR(C24))*(MONTH(Hipoteca!$H$4:$H$15)=MONTH(C24))*(Hipoteca!$H$4:$H$15&lt;&gt;"")*Hipoteca!$I$4:$I$15))</f>
        <v>0</v>
      </c>
      <c r="J24" s="24">
        <f>MAX(0,E24-H24-I24)</f>
        <v>168716.80536622973</v>
      </c>
      <c r="K24" s="21">
        <f>IF(E24&lt;=0.005,0,IF(Hipoteca!$C$8="Reducir cuota",$K$6-(B24-1),IFERROR(MAX(1,ROUNDUP(NPER(D23/12,-F23,E24),0)),$K$6-(B24-1))))</f>
        <v>328</v>
      </c>
      <c r="L24" s="21">
        <f>YEAR(C24)</f>
        <v>2028</v>
      </c>
      <c r="N24" s="25">
        <f>R23</f>
        <v>174192.0482403345</v>
      </c>
      <c r="O24" s="25">
        <f>IF(N24&lt;=0.005,0,IF(D24&lt;&gt;D23,PMT(D24/12,Hipoteca!$C$5*12-(B24-1),-N24),O23))</f>
        <v>721.6634896813672</v>
      </c>
      <c r="P24" s="25">
        <f>N24*D24/12</f>
        <v>377.41610452072473</v>
      </c>
      <c r="Q24" s="25">
        <f>IF(N24&lt;=0.005,0,MIN(N24,O24-P24))</f>
        <v>344.24738516064247</v>
      </c>
      <c r="R24" s="25">
        <f>MAX(0,N24-Q24)</f>
        <v>173847.80085517385</v>
      </c>
    </row>
    <row r="25" spans="2:18" ht="18" customHeight="1">
      <c r="B25" s="21">
        <f>ROW()-5</f>
        <v>20</v>
      </c>
      <c r="C25" s="22">
        <f>EDATE(Hipoteca!$C$7,B25-1)</f>
        <v>46905.0</v>
      </c>
      <c r="D25" s="23">
        <f>IFERROR(LOOKUP(2,1/((Hipoteca!$E$4:$E$9&lt;&gt;"")*(Hipoteca!$E$4:$E$9&lt;=C25)),Hipoteca!$F$4:$F$9),Hipoteca!$C$6)</f>
        <v>0.026</v>
      </c>
      <c r="E25" s="24">
        <f>J24</f>
        <v>168716.80536622973</v>
      </c>
      <c r="F25" s="24">
        <f>IF(E25&lt;=0.005,0,MIN(E25*(1+D25/12),IF(OR(Hipoteca!$C$8="Reducir cuota",D25&lt;&gt;D24),PMT(D25/12,K25,-E25),F24)))</f>
        <v>722.1905506721168</v>
      </c>
      <c r="G25" s="24">
        <f>E25*D25/12</f>
        <v>365.5530782934977</v>
      </c>
      <c r="H25" s="24">
        <f>IF(E25&lt;=0.005,0,MIN(E25,F25-G25))</f>
        <v>356.6374723786191</v>
      </c>
      <c r="I25" s="24">
        <f>MIN(E25-H25,SUMPRODUCT((YEAR(Hipoteca!$H$4:$H$15)=YEAR(C25))*(MONTH(Hipoteca!$H$4:$H$15)=MONTH(C25))*(Hipoteca!$H$4:$H$15&lt;&gt;"")*Hipoteca!$I$4:$I$15))</f>
        <v>0</v>
      </c>
      <c r="J25" s="24">
        <f>MAX(0,E25-H25-I25)</f>
        <v>168360.16789385112</v>
      </c>
      <c r="K25" s="21">
        <f>IF(E25&lt;=0.005,0,IF(Hipoteca!$C$8="Reducir cuota",$K$6-(B25-1),IFERROR(MAX(1,ROUNDUP(NPER(D24/12,-F24,E25),0)),$K$6-(B25-1))))</f>
        <v>327</v>
      </c>
      <c r="L25" s="21">
        <f>YEAR(C25)</f>
        <v>2028</v>
      </c>
      <c r="N25" s="25">
        <f>R24</f>
        <v>173847.80085517385</v>
      </c>
      <c r="O25" s="25">
        <f>IF(N25&lt;=0.005,0,IF(D25&lt;&gt;D24,PMT(D25/12,Hipoteca!$C$5*12-(B25-1),-N25),O24))</f>
        <v>721.6634896813672</v>
      </c>
      <c r="P25" s="25">
        <f>N25*D25/12</f>
        <v>376.67023518621</v>
      </c>
      <c r="Q25" s="25">
        <f>IF(N25&lt;=0.005,0,MIN(N25,O25-P25))</f>
        <v>344.9932544951572</v>
      </c>
      <c r="R25" s="25">
        <f>MAX(0,N25-Q25)</f>
        <v>173502.8076006787</v>
      </c>
    </row>
    <row r="26" spans="2:18" ht="18" customHeight="1">
      <c r="B26" s="21">
        <f>ROW()-5</f>
        <v>21</v>
      </c>
      <c r="C26" s="22">
        <f>EDATE(Hipoteca!$C$7,B26-1)</f>
        <v>46935.0</v>
      </c>
      <c r="D26" s="23">
        <f>IFERROR(LOOKUP(2,1/((Hipoteca!$E$4:$E$9&lt;&gt;"")*(Hipoteca!$E$4:$E$9&lt;=C26)),Hipoteca!$F$4:$F$9),Hipoteca!$C$6)</f>
        <v>0.026</v>
      </c>
      <c r="E26" s="24">
        <f>J25</f>
        <v>168360.16789385112</v>
      </c>
      <c r="F26" s="24">
        <f>IF(E26&lt;=0.005,0,MIN(E26*(1+D26/12),IF(OR(Hipoteca!$C$8="Reducir cuota",D26&lt;&gt;D25),PMT(D26/12,K26,-E26),F25)))</f>
        <v>722.1905506721168</v>
      </c>
      <c r="G26" s="24">
        <f>E26*D26/12</f>
        <v>364.78036377001075</v>
      </c>
      <c r="H26" s="24">
        <f>IF(E26&lt;=0.005,0,MIN(E26,F26-G26))</f>
        <v>357.4101869021061</v>
      </c>
      <c r="I26" s="24">
        <f>MIN(E26-H26,SUMPRODUCT((YEAR(Hipoteca!$H$4:$H$15)=YEAR(C26))*(MONTH(Hipoteca!$H$4:$H$15)=MONTH(C26))*(Hipoteca!$H$4:$H$15&lt;&gt;"")*Hipoteca!$I$4:$I$15))</f>
        <v>0</v>
      </c>
      <c r="J26" s="24">
        <f>MAX(0,E26-H26-I26)</f>
        <v>168002.75770694902</v>
      </c>
      <c r="K26" s="21">
        <f>IF(E26&lt;=0.005,0,IF(Hipoteca!$C$8="Reducir cuota",$K$6-(B26-1),IFERROR(MAX(1,ROUNDUP(NPER(D25/12,-F25,E26),0)),$K$6-(B26-1))))</f>
        <v>326</v>
      </c>
      <c r="L26" s="21">
        <f>YEAR(C26)</f>
        <v>2028</v>
      </c>
      <c r="N26" s="25">
        <f>R25</f>
        <v>173502.8076006787</v>
      </c>
      <c r="O26" s="25">
        <f>IF(N26&lt;=0.005,0,IF(D26&lt;&gt;D25,PMT(D26/12,Hipoteca!$C$5*12-(B26-1),-N26),O25))</f>
        <v>721.6634896813672</v>
      </c>
      <c r="P26" s="25">
        <f>N26*D26/12</f>
        <v>375.9227498014705</v>
      </c>
      <c r="Q26" s="25">
        <f>IF(N26&lt;=0.005,0,MIN(N26,O26-P26))</f>
        <v>345.7407398798967</v>
      </c>
      <c r="R26" s="25">
        <f>MAX(0,N26-Q26)</f>
        <v>173157.0668607988</v>
      </c>
    </row>
    <row r="27" spans="2:18" ht="18" customHeight="1">
      <c r="B27" s="21">
        <f>ROW()-5</f>
        <v>22</v>
      </c>
      <c r="C27" s="22">
        <f>EDATE(Hipoteca!$C$7,B27-1)</f>
        <v>46966.0</v>
      </c>
      <c r="D27" s="23">
        <f>IFERROR(LOOKUP(2,1/((Hipoteca!$E$4:$E$9&lt;&gt;"")*(Hipoteca!$E$4:$E$9&lt;=C27)),Hipoteca!$F$4:$F$9),Hipoteca!$C$6)</f>
        <v>0.026</v>
      </c>
      <c r="E27" s="24">
        <f>J26</f>
        <v>168002.75770694902</v>
      </c>
      <c r="F27" s="24">
        <f>IF(E27&lt;=0.005,0,MIN(E27*(1+D27/12),IF(OR(Hipoteca!$C$8="Reducir cuota",D27&lt;&gt;D26),PMT(D27/12,K27,-E27),F26)))</f>
        <v>722.1905506721168</v>
      </c>
      <c r="G27" s="24">
        <f>E27*D27/12</f>
        <v>364.0059750317228</v>
      </c>
      <c r="H27" s="24">
        <f>IF(E27&lt;=0.005,0,MIN(E27,F27-G27))</f>
        <v>358.18457564039403</v>
      </c>
      <c r="I27" s="24">
        <f>MIN(E27-H27,SUMPRODUCT((YEAR(Hipoteca!$H$4:$H$15)=YEAR(C27))*(MONTH(Hipoteca!$H$4:$H$15)=MONTH(C27))*(Hipoteca!$H$4:$H$15&lt;&gt;"")*Hipoteca!$I$4:$I$15))</f>
        <v>0</v>
      </c>
      <c r="J27" s="24">
        <f>MAX(0,E27-H27-I27)</f>
        <v>167644.57313130863</v>
      </c>
      <c r="K27" s="21">
        <f>IF(E27&lt;=0.005,0,IF(Hipoteca!$C$8="Reducir cuota",$K$6-(B27-1),IFERROR(MAX(1,ROUNDUP(NPER(D26/12,-F26,E27),0)),$K$6-(B27-1))))</f>
        <v>325</v>
      </c>
      <c r="L27" s="21">
        <f>YEAR(C27)</f>
        <v>2028</v>
      </c>
      <c r="N27" s="25">
        <f>R26</f>
        <v>173157.0668607988</v>
      </c>
      <c r="O27" s="25">
        <f>IF(N27&lt;=0.005,0,IF(D27&lt;&gt;D26,PMT(D27/12,Hipoteca!$C$5*12-(B27-1),-N27),O26))</f>
        <v>721.6634896813672</v>
      </c>
      <c r="P27" s="25">
        <f>N27*D27/12</f>
        <v>375.17364486506403</v>
      </c>
      <c r="Q27" s="25">
        <f>IF(N27&lt;=0.005,0,MIN(N27,O27-P27))</f>
        <v>346.48984481630316</v>
      </c>
      <c r="R27" s="25">
        <f>MAX(0,N27-Q27)</f>
        <v>172810.5770159825</v>
      </c>
    </row>
    <row r="28" spans="2:18" ht="18" customHeight="1">
      <c r="B28" s="21">
        <f>ROW()-5</f>
        <v>23</v>
      </c>
      <c r="C28" s="22">
        <f>EDATE(Hipoteca!$C$7,B28-1)</f>
        <v>46997.0</v>
      </c>
      <c r="D28" s="23">
        <f>IFERROR(LOOKUP(2,1/((Hipoteca!$E$4:$E$9&lt;&gt;"")*(Hipoteca!$E$4:$E$9&lt;=C28)),Hipoteca!$F$4:$F$9),Hipoteca!$C$6)</f>
        <v>0.026</v>
      </c>
      <c r="E28" s="24">
        <f>J27</f>
        <v>167644.57313130863</v>
      </c>
      <c r="F28" s="24">
        <f>IF(E28&lt;=0.005,0,MIN(E28*(1+D28/12),IF(OR(Hipoteca!$C$8="Reducir cuota",D28&lt;&gt;D27),PMT(D28/12,K28,-E28),F27)))</f>
        <v>722.1905506721168</v>
      </c>
      <c r="G28" s="24">
        <f>E28*D28/12</f>
        <v>363.2299084511687</v>
      </c>
      <c r="H28" s="24">
        <f>IF(E28&lt;=0.005,0,MIN(E28,F28-G28))</f>
        <v>358.96064222094816</v>
      </c>
      <c r="I28" s="24">
        <f>MIN(E28-H28,SUMPRODUCT((YEAR(Hipoteca!$H$4:$H$15)=YEAR(C28))*(MONTH(Hipoteca!$H$4:$H$15)=MONTH(C28))*(Hipoteca!$H$4:$H$15&lt;&gt;"")*Hipoteca!$I$4:$I$15))</f>
        <v>0</v>
      </c>
      <c r="J28" s="24">
        <f>MAX(0,E28-H28-I28)</f>
        <v>167285.61248908768</v>
      </c>
      <c r="K28" s="21">
        <f>IF(E28&lt;=0.005,0,IF(Hipoteca!$C$8="Reducir cuota",$K$6-(B28-1),IFERROR(MAX(1,ROUNDUP(NPER(D27/12,-F27,E28),0)),$K$6-(B28-1))))</f>
        <v>324</v>
      </c>
      <c r="L28" s="21">
        <f>YEAR(C28)</f>
        <v>2028</v>
      </c>
      <c r="N28" s="25">
        <f>R27</f>
        <v>172810.5770159825</v>
      </c>
      <c r="O28" s="25">
        <f>IF(N28&lt;=0.005,0,IF(D28&lt;&gt;D27,PMT(D28/12,Hipoteca!$C$5*12-(B28-1),-N28),O27))</f>
        <v>721.6634896813672</v>
      </c>
      <c r="P28" s="25">
        <f>N28*D28/12</f>
        <v>374.4229168679621</v>
      </c>
      <c r="Q28" s="25">
        <f>IF(N28&lt;=0.005,0,MIN(N28,O28-P28))</f>
        <v>347.2405728134051</v>
      </c>
      <c r="R28" s="25">
        <f>MAX(0,N28-Q28)</f>
        <v>172463.3364431691</v>
      </c>
    </row>
    <row r="29" spans="2:18" ht="18" customHeight="1">
      <c r="B29" s="21">
        <f>ROW()-5</f>
        <v>24</v>
      </c>
      <c r="C29" s="22">
        <f>EDATE(Hipoteca!$C$7,B29-1)</f>
        <v>47027.0</v>
      </c>
      <c r="D29" s="23">
        <f>IFERROR(LOOKUP(2,1/((Hipoteca!$E$4:$E$9&lt;&gt;"")*(Hipoteca!$E$4:$E$9&lt;=C29)),Hipoteca!$F$4:$F$9),Hipoteca!$C$6)</f>
        <v>0.026</v>
      </c>
      <c r="E29" s="24">
        <f>J28</f>
        <v>167285.61248908768</v>
      </c>
      <c r="F29" s="24">
        <f>IF(E29&lt;=0.005,0,MIN(E29*(1+D29/12),IF(OR(Hipoteca!$C$8="Reducir cuota",D29&lt;&gt;D28),PMT(D29/12,K29,-E29),F28)))</f>
        <v>722.1905506721168</v>
      </c>
      <c r="G29" s="24">
        <f>E29*D29/12</f>
        <v>362.45216039302335</v>
      </c>
      <c r="H29" s="24">
        <f>IF(E29&lt;=0.005,0,MIN(E29,F29-G29))</f>
        <v>359.7383902790935</v>
      </c>
      <c r="I29" s="24">
        <f>MIN(E29-H29,SUMPRODUCT((YEAR(Hipoteca!$H$4:$H$15)=YEAR(C29))*(MONTH(Hipoteca!$H$4:$H$15)=MONTH(C29))*(Hipoteca!$H$4:$H$15&lt;&gt;"")*Hipoteca!$I$4:$I$15))</f>
        <v>0</v>
      </c>
      <c r="J29" s="24">
        <f>MAX(0,E29-H29-I29)</f>
        <v>166925.8740988086</v>
      </c>
      <c r="K29" s="21">
        <f>IF(E29&lt;=0.005,0,IF(Hipoteca!$C$8="Reducir cuota",$K$6-(B29-1),IFERROR(MAX(1,ROUNDUP(NPER(D28/12,-F28,E29),0)),$K$6-(B29-1))))</f>
        <v>323</v>
      </c>
      <c r="L29" s="21">
        <f>YEAR(C29)</f>
        <v>2028</v>
      </c>
      <c r="N29" s="25">
        <f>R28</f>
        <v>172463.3364431691</v>
      </c>
      <c r="O29" s="25">
        <f>IF(N29&lt;=0.005,0,IF(D29&lt;&gt;D28,PMT(D29/12,Hipoteca!$C$5*12-(B29-1),-N29),O28))</f>
        <v>721.6634896813672</v>
      </c>
      <c r="P29" s="25">
        <f>N29*D29/12</f>
        <v>373.67056229353307</v>
      </c>
      <c r="Q29" s="25">
        <f>IF(N29&lt;=0.005,0,MIN(N29,O29-P29))</f>
        <v>347.99292738783413</v>
      </c>
      <c r="R29" s="25">
        <f>MAX(0,N29-Q29)</f>
        <v>172115.34351578128</v>
      </c>
    </row>
    <row r="30" spans="2:18" ht="18" customHeight="1">
      <c r="B30" s="21">
        <f>ROW()-5</f>
        <v>25</v>
      </c>
      <c r="C30" s="22">
        <f>EDATE(Hipoteca!$C$7,B30-1)</f>
        <v>47058.0</v>
      </c>
      <c r="D30" s="23">
        <f>IFERROR(LOOKUP(2,1/((Hipoteca!$E$4:$E$9&lt;&gt;"")*(Hipoteca!$E$4:$E$9&lt;=C30)),Hipoteca!$F$4:$F$9),Hipoteca!$C$6)</f>
        <v>0.029</v>
      </c>
      <c r="E30" s="24">
        <f>J29</f>
        <v>166925.8740988086</v>
      </c>
      <c r="F30" s="24">
        <f>IF(E30&lt;=0.005,0,MIN(E30*(1+D30/12),IF(OR(Hipoteca!$C$8="Reducir cuota",D30&lt;&gt;D29),PMT(D30/12,K30,-E30),F29)))</f>
        <v>746.6003367545769</v>
      </c>
      <c r="G30" s="24">
        <f>E30*D30/12</f>
        <v>403.40419573878745</v>
      </c>
      <c r="H30" s="24">
        <f>IF(E30&lt;=0.005,0,MIN(E30,F30-G30))</f>
        <v>343.19614101578946</v>
      </c>
      <c r="I30" s="24">
        <f>MIN(E30-H30,SUMPRODUCT((YEAR(Hipoteca!$H$4:$H$15)=YEAR(C30))*(MONTH(Hipoteca!$H$4:$H$15)=MONTH(C30))*(Hipoteca!$H$4:$H$15&lt;&gt;"")*Hipoteca!$I$4:$I$15))</f>
        <v>0</v>
      </c>
      <c r="J30" s="24">
        <f>MAX(0,E30-H30-I30)</f>
        <v>166582.6779577928</v>
      </c>
      <c r="K30" s="21">
        <f>IF(E30&lt;=0.005,0,IF(Hipoteca!$C$8="Reducir cuota",$K$6-(B30-1),IFERROR(MAX(1,ROUNDUP(NPER(D29/12,-F29,E30),0)),$K$6-(B30-1))))</f>
        <v>322</v>
      </c>
      <c r="L30" s="21">
        <f>YEAR(C30)</f>
        <v>2028</v>
      </c>
      <c r="N30" s="25">
        <f>R29</f>
        <v>172115.34351578128</v>
      </c>
      <c r="O30" s="25">
        <f>IF(N30&lt;=0.005,0,IF(D30&lt;&gt;D29,PMT(D30/12,Hipoteca!$C$5*12-(B30-1),-N30),O29))</f>
        <v>748.6477272887904</v>
      </c>
      <c r="P30" s="25">
        <f>N30*D30/12</f>
        <v>415.9454134964715</v>
      </c>
      <c r="Q30" s="25">
        <f>IF(N30&lt;=0.005,0,MIN(N30,O30-P30))</f>
        <v>332.70231379231893</v>
      </c>
      <c r="R30" s="25">
        <f>MAX(0,N30-Q30)</f>
        <v>171782.64120198897</v>
      </c>
    </row>
    <row r="31" spans="2:18" ht="18" customHeight="1">
      <c r="B31" s="21">
        <f>ROW()-5</f>
        <v>26</v>
      </c>
      <c r="C31" s="22">
        <f>EDATE(Hipoteca!$C$7,B31-1)</f>
        <v>47088.0</v>
      </c>
      <c r="D31" s="23">
        <f>IFERROR(LOOKUP(2,1/((Hipoteca!$E$4:$E$9&lt;&gt;"")*(Hipoteca!$E$4:$E$9&lt;=C31)),Hipoteca!$F$4:$F$9),Hipoteca!$C$6)</f>
        <v>0.029</v>
      </c>
      <c r="E31" s="24">
        <f>J30</f>
        <v>166582.6779577928</v>
      </c>
      <c r="F31" s="24">
        <f>IF(E31&lt;=0.005,0,MIN(E31*(1+D31/12),IF(OR(Hipoteca!$C$8="Reducir cuota",D31&lt;&gt;D30),PMT(D31/12,K31,-E31),F30)))</f>
        <v>746.6003367545769</v>
      </c>
      <c r="G31" s="24">
        <f>E31*D31/12</f>
        <v>402.57480506466595</v>
      </c>
      <c r="H31" s="24">
        <f>IF(E31&lt;=0.005,0,MIN(E31,F31-G31))</f>
        <v>344.02553168991096</v>
      </c>
      <c r="I31" s="24">
        <f>MIN(E31-H31,SUMPRODUCT((YEAR(Hipoteca!$H$4:$H$15)=YEAR(C31))*(MONTH(Hipoteca!$H$4:$H$15)=MONTH(C31))*(Hipoteca!$H$4:$H$15&lt;&gt;"")*Hipoteca!$I$4:$I$15))</f>
        <v>0</v>
      </c>
      <c r="J31" s="24">
        <f>MAX(0,E31-H31-I31)</f>
        <v>166238.6524261029</v>
      </c>
      <c r="K31" s="21">
        <f>IF(E31&lt;=0.005,0,IF(Hipoteca!$C$8="Reducir cuota",$K$6-(B31-1),IFERROR(MAX(1,ROUNDUP(NPER(D30/12,-F30,E31),0)),$K$6-(B31-1))))</f>
        <v>321</v>
      </c>
      <c r="L31" s="21">
        <f>YEAR(C31)</f>
        <v>2028</v>
      </c>
      <c r="N31" s="25">
        <f>R30</f>
        <v>171782.64120198897</v>
      </c>
      <c r="O31" s="25">
        <f>IF(N31&lt;=0.005,0,IF(D31&lt;&gt;D30,PMT(D31/12,Hipoteca!$C$5*12-(B31-1),-N31),O30))</f>
        <v>748.6477272887904</v>
      </c>
      <c r="P31" s="25">
        <f>N31*D31/12</f>
        <v>415.14138290480673</v>
      </c>
      <c r="Q31" s="25">
        <f>IF(N31&lt;=0.005,0,MIN(N31,O31-P31))</f>
        <v>333.5063443839837</v>
      </c>
      <c r="R31" s="25">
        <f>MAX(0,N31-Q31)</f>
        <v>171449.13485760498</v>
      </c>
    </row>
    <row r="32" spans="2:18" ht="18" customHeight="1">
      <c r="B32" s="21">
        <f>ROW()-5</f>
        <v>27</v>
      </c>
      <c r="C32" s="22">
        <f>EDATE(Hipoteca!$C$7,B32-1)</f>
        <v>47119.0</v>
      </c>
      <c r="D32" s="23">
        <f>IFERROR(LOOKUP(2,1/((Hipoteca!$E$4:$E$9&lt;&gt;"")*(Hipoteca!$E$4:$E$9&lt;=C32)),Hipoteca!$F$4:$F$9),Hipoteca!$C$6)</f>
        <v>0.029</v>
      </c>
      <c r="E32" s="24">
        <f>J31</f>
        <v>166238.6524261029</v>
      </c>
      <c r="F32" s="24">
        <f>IF(E32&lt;=0.005,0,MIN(E32*(1+D32/12),IF(OR(Hipoteca!$C$8="Reducir cuota",D32&lt;&gt;D31),PMT(D32/12,K32,-E32),F31)))</f>
        <v>746.6003367545769</v>
      </c>
      <c r="G32" s="24">
        <f>E32*D32/12</f>
        <v>401.7434100297487</v>
      </c>
      <c r="H32" s="24">
        <f>IF(E32&lt;=0.005,0,MIN(E32,F32-G32))</f>
        <v>344.8569267248282</v>
      </c>
      <c r="I32" s="24">
        <f>MIN(E32-H32,SUMPRODUCT((YEAR(Hipoteca!$H$4:$H$15)=YEAR(C32))*(MONTH(Hipoteca!$H$4:$H$15)=MONTH(C32))*(Hipoteca!$H$4:$H$15&lt;&gt;"")*Hipoteca!$I$4:$I$15))</f>
        <v>10000</v>
      </c>
      <c r="J32" s="24">
        <f>MAX(0,E32-H32-I32)</f>
        <v>155893.79549937806</v>
      </c>
      <c r="K32" s="21">
        <f>IF(E32&lt;=0.005,0,IF(Hipoteca!$C$8="Reducir cuota",$K$6-(B32-1),IFERROR(MAX(1,ROUNDUP(NPER(D31/12,-F31,E32),0)),$K$6-(B32-1))))</f>
        <v>320</v>
      </c>
      <c r="L32" s="21">
        <f>YEAR(C32)</f>
        <v>2029</v>
      </c>
      <c r="N32" s="25">
        <f>R31</f>
        <v>171449.13485760498</v>
      </c>
      <c r="O32" s="25">
        <f>IF(N32&lt;=0.005,0,IF(D32&lt;&gt;D31,PMT(D32/12,Hipoteca!$C$5*12-(B32-1),-N32),O31))</f>
        <v>748.6477272887904</v>
      </c>
      <c r="P32" s="25">
        <f>N32*D32/12</f>
        <v>414.3354092392121</v>
      </c>
      <c r="Q32" s="25">
        <f>IF(N32&lt;=0.005,0,MIN(N32,O32-P32))</f>
        <v>334.3123180495783</v>
      </c>
      <c r="R32" s="25">
        <f>MAX(0,N32-Q32)</f>
        <v>171114.8225395554</v>
      </c>
    </row>
    <row r="33" spans="2:18" ht="18" customHeight="1">
      <c r="B33" s="21">
        <f>ROW()-5</f>
        <v>28</v>
      </c>
      <c r="C33" s="22">
        <f>EDATE(Hipoteca!$C$7,B33-1)</f>
        <v>47150.0</v>
      </c>
      <c r="D33" s="23">
        <f>IFERROR(LOOKUP(2,1/((Hipoteca!$E$4:$E$9&lt;&gt;"")*(Hipoteca!$E$4:$E$9&lt;=C33)),Hipoteca!$F$4:$F$9),Hipoteca!$C$6)</f>
        <v>0.029</v>
      </c>
      <c r="E33" s="24">
        <f>J32</f>
        <v>155893.79549937806</v>
      </c>
      <c r="F33" s="24">
        <f>IF(E33&lt;=0.005,0,MIN(E33*(1+D33/12),IF(OR(Hipoteca!$C$8="Reducir cuota",D33&lt;&gt;D32),PMT(D33/12,K33,-E33),F32)))</f>
        <v>746.6003367545769</v>
      </c>
      <c r="G33" s="24">
        <f>E33*D33/12</f>
        <v>376.743339123497</v>
      </c>
      <c r="H33" s="24">
        <f>IF(E33&lt;=0.005,0,MIN(E33,F33-G33))</f>
        <v>369.85699763107993</v>
      </c>
      <c r="I33" s="24">
        <f>MIN(E33-H33,SUMPRODUCT((YEAR(Hipoteca!$H$4:$H$15)=YEAR(C33))*(MONTH(Hipoteca!$H$4:$H$15)=MONTH(C33))*(Hipoteca!$H$4:$H$15&lt;&gt;"")*Hipoteca!$I$4:$I$15))</f>
        <v>0</v>
      </c>
      <c r="J33" s="24">
        <f>MAX(0,E33-H33-I33)</f>
        <v>155523.93850174698</v>
      </c>
      <c r="K33" s="21">
        <f>IF(E33&lt;=0.005,0,IF(Hipoteca!$C$8="Reducir cuota",$K$6-(B33-1),IFERROR(MAX(1,ROUNDUP(NPER(D32/12,-F32,E33),0)),$K$6-(B33-1))))</f>
        <v>292</v>
      </c>
      <c r="L33" s="21">
        <f>YEAR(C33)</f>
        <v>2029</v>
      </c>
      <c r="N33" s="25">
        <f>R32</f>
        <v>171114.8225395554</v>
      </c>
      <c r="O33" s="25">
        <f>IF(N33&lt;=0.005,0,IF(D33&lt;&gt;D32,PMT(D33/12,Hipoteca!$C$5*12-(B33-1),-N33),O32))</f>
        <v>748.6477272887904</v>
      </c>
      <c r="P33" s="25">
        <f>N33*D33/12</f>
        <v>413.52748780392557</v>
      </c>
      <c r="Q33" s="25">
        <f>IF(N33&lt;=0.005,0,MIN(N33,O33-P33))</f>
        <v>335.12023948486484</v>
      </c>
      <c r="R33" s="25">
        <f>MAX(0,N33-Q33)</f>
        <v>170779.70230007055</v>
      </c>
    </row>
    <row r="34" spans="2:18" ht="18" customHeight="1">
      <c r="B34" s="21">
        <f>ROW()-5</f>
        <v>29</v>
      </c>
      <c r="C34" s="22">
        <f>EDATE(Hipoteca!$C$7,B34-1)</f>
        <v>47178.0</v>
      </c>
      <c r="D34" s="23">
        <f>IFERROR(LOOKUP(2,1/((Hipoteca!$E$4:$E$9&lt;&gt;"")*(Hipoteca!$E$4:$E$9&lt;=C34)),Hipoteca!$F$4:$F$9),Hipoteca!$C$6)</f>
        <v>0.029</v>
      </c>
      <c r="E34" s="24">
        <f>J33</f>
        <v>155523.93850174698</v>
      </c>
      <c r="F34" s="24">
        <f>IF(E34&lt;=0.005,0,MIN(E34*(1+D34/12),IF(OR(Hipoteca!$C$8="Reducir cuota",D34&lt;&gt;D33),PMT(D34/12,K34,-E34),F33)))</f>
        <v>746.6003367545769</v>
      </c>
      <c r="G34" s="24">
        <f>E34*D34/12</f>
        <v>375.84951804588854</v>
      </c>
      <c r="H34" s="24">
        <f>IF(E34&lt;=0.005,0,MIN(E34,F34-G34))</f>
        <v>370.75081870868837</v>
      </c>
      <c r="I34" s="24">
        <f>MIN(E34-H34,SUMPRODUCT((YEAR(Hipoteca!$H$4:$H$15)=YEAR(C34))*(MONTH(Hipoteca!$H$4:$H$15)=MONTH(C34))*(Hipoteca!$H$4:$H$15&lt;&gt;"")*Hipoteca!$I$4:$I$15))</f>
        <v>0</v>
      </c>
      <c r="J34" s="24">
        <f>MAX(0,E34-H34-I34)</f>
        <v>155153.1876830383</v>
      </c>
      <c r="K34" s="21">
        <f>IF(E34&lt;=0.005,0,IF(Hipoteca!$C$8="Reducir cuota",$K$6-(B34-1),IFERROR(MAX(1,ROUNDUP(NPER(D33/12,-F33,E34),0)),$K$6-(B34-1))))</f>
        <v>291</v>
      </c>
      <c r="L34" s="21">
        <f>YEAR(C34)</f>
        <v>2029</v>
      </c>
      <c r="N34" s="25">
        <f>R33</f>
        <v>170779.70230007055</v>
      </c>
      <c r="O34" s="25">
        <f>IF(N34&lt;=0.005,0,IF(D34&lt;&gt;D33,PMT(D34/12,Hipoteca!$C$5*12-(B34-1),-N34),O33))</f>
        <v>748.6477272887904</v>
      </c>
      <c r="P34" s="25">
        <f>N34*D34/12</f>
        <v>412.7176138918372</v>
      </c>
      <c r="Q34" s="25">
        <f>IF(N34&lt;=0.005,0,MIN(N34,O34-P34))</f>
        <v>335.93011339695323</v>
      </c>
      <c r="R34" s="25">
        <f>MAX(0,N34-Q34)</f>
        <v>170443.7721866736</v>
      </c>
    </row>
    <row r="35" spans="2:18" ht="18" customHeight="1">
      <c r="B35" s="21">
        <f>ROW()-5</f>
        <v>30</v>
      </c>
      <c r="C35" s="22">
        <f>EDATE(Hipoteca!$C$7,B35-1)</f>
        <v>47209.0</v>
      </c>
      <c r="D35" s="23">
        <f>IFERROR(LOOKUP(2,1/((Hipoteca!$E$4:$E$9&lt;&gt;"")*(Hipoteca!$E$4:$E$9&lt;=C35)),Hipoteca!$F$4:$F$9),Hipoteca!$C$6)</f>
        <v>0.029</v>
      </c>
      <c r="E35" s="24">
        <f>J34</f>
        <v>155153.1876830383</v>
      </c>
      <c r="F35" s="24">
        <f>IF(E35&lt;=0.005,0,MIN(E35*(1+D35/12),IF(OR(Hipoteca!$C$8="Reducir cuota",D35&lt;&gt;D34),PMT(D35/12,K35,-E35),F34)))</f>
        <v>746.6003367545769</v>
      </c>
      <c r="G35" s="24">
        <f>E35*D35/12</f>
        <v>374.95353690067594</v>
      </c>
      <c r="H35" s="24">
        <f>IF(E35&lt;=0.005,0,MIN(E35,F35-G35))</f>
        <v>371.646799853901</v>
      </c>
      <c r="I35" s="24">
        <f>MIN(E35-H35,SUMPRODUCT((YEAR(Hipoteca!$H$4:$H$15)=YEAR(C35))*(MONTH(Hipoteca!$H$4:$H$15)=MONTH(C35))*(Hipoteca!$H$4:$H$15&lt;&gt;"")*Hipoteca!$I$4:$I$15))</f>
        <v>0</v>
      </c>
      <c r="J35" s="24">
        <f>MAX(0,E35-H35-I35)</f>
        <v>154781.5408831844</v>
      </c>
      <c r="K35" s="21">
        <f>IF(E35&lt;=0.005,0,IF(Hipoteca!$C$8="Reducir cuota",$K$6-(B35-1),IFERROR(MAX(1,ROUNDUP(NPER(D34/12,-F34,E35),0)),$K$6-(B35-1))))</f>
        <v>290</v>
      </c>
      <c r="L35" s="21">
        <f>YEAR(C35)</f>
        <v>2029</v>
      </c>
      <c r="N35" s="25">
        <f>R34</f>
        <v>170443.7721866736</v>
      </c>
      <c r="O35" s="25">
        <f>IF(N35&lt;=0.005,0,IF(D35&lt;&gt;D34,PMT(D35/12,Hipoteca!$C$5*12-(B35-1),-N35),O34))</f>
        <v>748.6477272887904</v>
      </c>
      <c r="P35" s="25">
        <f>N35*D35/12</f>
        <v>411.9057827844612</v>
      </c>
      <c r="Q35" s="25">
        <f>IF(N35&lt;=0.005,0,MIN(N35,O35-P35))</f>
        <v>336.7419445043292</v>
      </c>
      <c r="R35" s="25">
        <f>MAX(0,N35-Q35)</f>
        <v>170107.03024216928</v>
      </c>
    </row>
    <row r="36" spans="2:18" ht="18" customHeight="1">
      <c r="B36" s="21">
        <f>ROW()-5</f>
        <v>31</v>
      </c>
      <c r="C36" s="22">
        <f>EDATE(Hipoteca!$C$7,B36-1)</f>
        <v>47239.0</v>
      </c>
      <c r="D36" s="23">
        <f>IFERROR(LOOKUP(2,1/((Hipoteca!$E$4:$E$9&lt;&gt;"")*(Hipoteca!$E$4:$E$9&lt;=C36)),Hipoteca!$F$4:$F$9),Hipoteca!$C$6)</f>
        <v>0.029</v>
      </c>
      <c r="E36" s="24">
        <f>J35</f>
        <v>154781.5408831844</v>
      </c>
      <c r="F36" s="24">
        <f>IF(E36&lt;=0.005,0,MIN(E36*(1+D36/12),IF(OR(Hipoteca!$C$8="Reducir cuota",D36&lt;&gt;D35),PMT(D36/12,K36,-E36),F35)))</f>
        <v>746.6003367545769</v>
      </c>
      <c r="G36" s="24">
        <f>E36*D36/12</f>
        <v>374.05539046769564</v>
      </c>
      <c r="H36" s="24">
        <f>IF(E36&lt;=0.005,0,MIN(E36,F36-G36))</f>
        <v>372.54494628688127</v>
      </c>
      <c r="I36" s="24">
        <f>MIN(E36-H36,SUMPRODUCT((YEAR(Hipoteca!$H$4:$H$15)=YEAR(C36))*(MONTH(Hipoteca!$H$4:$H$15)=MONTH(C36))*(Hipoteca!$H$4:$H$15&lt;&gt;"")*Hipoteca!$I$4:$I$15))</f>
        <v>0</v>
      </c>
      <c r="J36" s="24">
        <f>MAX(0,E36-H36-I36)</f>
        <v>154408.99593689753</v>
      </c>
      <c r="K36" s="21">
        <f>IF(E36&lt;=0.005,0,IF(Hipoteca!$C$8="Reducir cuota",$K$6-(B36-1),IFERROR(MAX(1,ROUNDUP(NPER(D35/12,-F35,E36),0)),$K$6-(B36-1))))</f>
        <v>289</v>
      </c>
      <c r="L36" s="21">
        <f>YEAR(C36)</f>
        <v>2029</v>
      </c>
      <c r="N36" s="25">
        <f>R35</f>
        <v>170107.03024216928</v>
      </c>
      <c r="O36" s="25">
        <f>IF(N36&lt;=0.005,0,IF(D36&lt;&gt;D35,PMT(D36/12,Hipoteca!$C$5*12-(B36-1),-N36),O35))</f>
        <v>748.6477272887904</v>
      </c>
      <c r="P36" s="25">
        <f>N36*D36/12</f>
        <v>411.09198975190907</v>
      </c>
      <c r="Q36" s="25">
        <f>IF(N36&lt;=0.005,0,MIN(N36,O36-P36))</f>
        <v>337.55573753688134</v>
      </c>
      <c r="R36" s="25">
        <f>MAX(0,N36-Q36)</f>
        <v>169769.47450463238</v>
      </c>
    </row>
    <row r="37" spans="2:18" ht="18" customHeight="1">
      <c r="B37" s="21">
        <f>ROW()-5</f>
        <v>32</v>
      </c>
      <c r="C37" s="22">
        <f>EDATE(Hipoteca!$C$7,B37-1)</f>
        <v>47270.0</v>
      </c>
      <c r="D37" s="23">
        <f>IFERROR(LOOKUP(2,1/((Hipoteca!$E$4:$E$9&lt;&gt;"")*(Hipoteca!$E$4:$E$9&lt;=C37)),Hipoteca!$F$4:$F$9),Hipoteca!$C$6)</f>
        <v>0.029</v>
      </c>
      <c r="E37" s="24">
        <f>J36</f>
        <v>154408.99593689753</v>
      </c>
      <c r="F37" s="24">
        <f>IF(E37&lt;=0.005,0,MIN(E37*(1+D37/12),IF(OR(Hipoteca!$C$8="Reducir cuota",D37&lt;&gt;D36),PMT(D37/12,K37,-E37),F36)))</f>
        <v>746.6003367545769</v>
      </c>
      <c r="G37" s="24">
        <f>E37*D37/12</f>
        <v>373.15507351416903</v>
      </c>
      <c r="H37" s="24">
        <f>IF(E37&lt;=0.005,0,MIN(E37,F37-G37))</f>
        <v>373.4452632404079</v>
      </c>
      <c r="I37" s="24">
        <f>MIN(E37-H37,SUMPRODUCT((YEAR(Hipoteca!$H$4:$H$15)=YEAR(C37))*(MONTH(Hipoteca!$H$4:$H$15)=MONTH(C37))*(Hipoteca!$H$4:$H$15&lt;&gt;"")*Hipoteca!$I$4:$I$15))</f>
        <v>0</v>
      </c>
      <c r="J37" s="24">
        <f>MAX(0,E37-H37-I37)</f>
        <v>154035.55067365713</v>
      </c>
      <c r="K37" s="21">
        <f>IF(E37&lt;=0.005,0,IF(Hipoteca!$C$8="Reducir cuota",$K$6-(B37-1),IFERROR(MAX(1,ROUNDUP(NPER(D36/12,-F36,E37),0)),$K$6-(B37-1))))</f>
        <v>288</v>
      </c>
      <c r="L37" s="21">
        <f>YEAR(C37)</f>
        <v>2029</v>
      </c>
      <c r="N37" s="25">
        <f>R36</f>
        <v>169769.47450463238</v>
      </c>
      <c r="O37" s="25">
        <f>IF(N37&lt;=0.005,0,IF(D37&lt;&gt;D36,PMT(D37/12,Hipoteca!$C$5*12-(B37-1),-N37),O36))</f>
        <v>748.6477272887904</v>
      </c>
      <c r="P37" s="25">
        <f>N37*D37/12</f>
        <v>410.2762300528616</v>
      </c>
      <c r="Q37" s="25">
        <f>IF(N37&lt;=0.005,0,MIN(N37,O37-P37))</f>
        <v>338.3714972359288</v>
      </c>
      <c r="R37" s="25">
        <f>MAX(0,N37-Q37)</f>
        <v>169431.10300739645</v>
      </c>
    </row>
    <row r="38" spans="2:18" ht="18" customHeight="1">
      <c r="B38" s="21">
        <f>ROW()-5</f>
        <v>33</v>
      </c>
      <c r="C38" s="22">
        <f>EDATE(Hipoteca!$C$7,B38-1)</f>
        <v>47300.0</v>
      </c>
      <c r="D38" s="23">
        <f>IFERROR(LOOKUP(2,1/((Hipoteca!$E$4:$E$9&lt;&gt;"")*(Hipoteca!$E$4:$E$9&lt;=C38)),Hipoteca!$F$4:$F$9),Hipoteca!$C$6)</f>
        <v>0.029</v>
      </c>
      <c r="E38" s="24">
        <f>J37</f>
        <v>154035.55067365713</v>
      </c>
      <c r="F38" s="24">
        <f>IF(E38&lt;=0.005,0,MIN(E38*(1+D38/12),IF(OR(Hipoteca!$C$8="Reducir cuota",D38&lt;&gt;D37),PMT(D38/12,K38,-E38),F37)))</f>
        <v>746.6003367545769</v>
      </c>
      <c r="G38" s="24">
        <f>E38*D38/12</f>
        <v>372.25258079467136</v>
      </c>
      <c r="H38" s="24">
        <f>IF(E38&lt;=0.005,0,MIN(E38,F38-G38))</f>
        <v>374.34775595990556</v>
      </c>
      <c r="I38" s="24">
        <f>MIN(E38-H38,SUMPRODUCT((YEAR(Hipoteca!$H$4:$H$15)=YEAR(C38))*(MONTH(Hipoteca!$H$4:$H$15)=MONTH(C38))*(Hipoteca!$H$4:$H$15&lt;&gt;"")*Hipoteca!$I$4:$I$15))</f>
        <v>0</v>
      </c>
      <c r="J38" s="24">
        <f>MAX(0,E38-H38-I38)</f>
        <v>153661.20291769723</v>
      </c>
      <c r="K38" s="21">
        <f>IF(E38&lt;=0.005,0,IF(Hipoteca!$C$8="Reducir cuota",$K$6-(B38-1),IFERROR(MAX(1,ROUNDUP(NPER(D37/12,-F37,E38),0)),$K$6-(B38-1))))</f>
        <v>287</v>
      </c>
      <c r="L38" s="21">
        <f>YEAR(C38)</f>
        <v>2029</v>
      </c>
      <c r="N38" s="25">
        <f>R37</f>
        <v>169431.10300739645</v>
      </c>
      <c r="O38" s="25">
        <f>IF(N38&lt;=0.005,0,IF(D38&lt;&gt;D37,PMT(D38/12,Hipoteca!$C$5*12-(B38-1),-N38),O37))</f>
        <v>748.6477272887904</v>
      </c>
      <c r="P38" s="25">
        <f>N38*D38/12</f>
        <v>409.45849893454147</v>
      </c>
      <c r="Q38" s="25">
        <f>IF(N38&lt;=0.005,0,MIN(N38,O38-P38))</f>
        <v>339.18922835424894</v>
      </c>
      <c r="R38" s="25">
        <f>MAX(0,N38-Q38)</f>
        <v>169091.9137790422</v>
      </c>
    </row>
    <row r="39" spans="2:18" ht="18" customHeight="1">
      <c r="B39" s="21">
        <f>ROW()-5</f>
        <v>34</v>
      </c>
      <c r="C39" s="22">
        <f>EDATE(Hipoteca!$C$7,B39-1)</f>
        <v>47331.0</v>
      </c>
      <c r="D39" s="23">
        <f>IFERROR(LOOKUP(2,1/((Hipoteca!$E$4:$E$9&lt;&gt;"")*(Hipoteca!$E$4:$E$9&lt;=C39)),Hipoteca!$F$4:$F$9),Hipoteca!$C$6)</f>
        <v>0.029</v>
      </c>
      <c r="E39" s="24">
        <f>J38</f>
        <v>153661.20291769723</v>
      </c>
      <c r="F39" s="24">
        <f>IF(E39&lt;=0.005,0,MIN(E39*(1+D39/12),IF(OR(Hipoteca!$C$8="Reducir cuota",D39&lt;&gt;D38),PMT(D39/12,K39,-E39),F38)))</f>
        <v>746.6003367545769</v>
      </c>
      <c r="G39" s="24">
        <f>E39*D39/12</f>
        <v>371.34790705110163</v>
      </c>
      <c r="H39" s="24">
        <f>IF(E39&lt;=0.005,0,MIN(E39,F39-G39))</f>
        <v>375.2524297034753</v>
      </c>
      <c r="I39" s="24">
        <f>MIN(E39-H39,SUMPRODUCT((YEAR(Hipoteca!$H$4:$H$15)=YEAR(C39))*(MONTH(Hipoteca!$H$4:$H$15)=MONTH(C39))*(Hipoteca!$H$4:$H$15&lt;&gt;"")*Hipoteca!$I$4:$I$15))</f>
        <v>0</v>
      </c>
      <c r="J39" s="24">
        <f>MAX(0,E39-H39-I39)</f>
        <v>153285.95048799374</v>
      </c>
      <c r="K39" s="21">
        <f>IF(E39&lt;=0.005,0,IF(Hipoteca!$C$8="Reducir cuota",$K$6-(B39-1),IFERROR(MAX(1,ROUNDUP(NPER(D38/12,-F38,E39),0)),$K$6-(B39-1))))</f>
        <v>286</v>
      </c>
      <c r="L39" s="21">
        <f>YEAR(C39)</f>
        <v>2029</v>
      </c>
      <c r="N39" s="25">
        <f>R38</f>
        <v>169091.9137790422</v>
      </c>
      <c r="O39" s="25">
        <f>IF(N39&lt;=0.005,0,IF(D39&lt;&gt;D38,PMT(D39/12,Hipoteca!$C$5*12-(B39-1),-N39),O38))</f>
        <v>748.6477272887904</v>
      </c>
      <c r="P39" s="25">
        <f>N39*D39/12</f>
        <v>408.6387916326853</v>
      </c>
      <c r="Q39" s="25">
        <f>IF(N39&lt;=0.005,0,MIN(N39,O39-P39))</f>
        <v>340.0089356561051</v>
      </c>
      <c r="R39" s="25">
        <f>MAX(0,N39-Q39)</f>
        <v>168751.9048433861</v>
      </c>
    </row>
    <row r="40" spans="2:18" ht="18" customHeight="1">
      <c r="B40" s="21">
        <f>ROW()-5</f>
        <v>35</v>
      </c>
      <c r="C40" s="22">
        <f>EDATE(Hipoteca!$C$7,B40-1)</f>
        <v>47362.0</v>
      </c>
      <c r="D40" s="23">
        <f>IFERROR(LOOKUP(2,1/((Hipoteca!$E$4:$E$9&lt;&gt;"")*(Hipoteca!$E$4:$E$9&lt;=C40)),Hipoteca!$F$4:$F$9),Hipoteca!$C$6)</f>
        <v>0.029</v>
      </c>
      <c r="E40" s="24">
        <f>J39</f>
        <v>153285.95048799374</v>
      </c>
      <c r="F40" s="24">
        <f>IF(E40&lt;=0.005,0,MIN(E40*(1+D40/12),IF(OR(Hipoteca!$C$8="Reducir cuota",D40&lt;&gt;D39),PMT(D40/12,K40,-E40),F39)))</f>
        <v>746.6003367545769</v>
      </c>
      <c r="G40" s="24">
        <f>E40*D40/12</f>
        <v>370.44104701265155</v>
      </c>
      <c r="H40" s="24">
        <f>IF(E40&lt;=0.005,0,MIN(E40,F40-G40))</f>
        <v>376.15928974192536</v>
      </c>
      <c r="I40" s="24">
        <f>MIN(E40-H40,SUMPRODUCT((YEAR(Hipoteca!$H$4:$H$15)=YEAR(C40))*(MONTH(Hipoteca!$H$4:$H$15)=MONTH(C40))*(Hipoteca!$H$4:$H$15&lt;&gt;"")*Hipoteca!$I$4:$I$15))</f>
        <v>0</v>
      </c>
      <c r="J40" s="24">
        <f>MAX(0,E40-H40-I40)</f>
        <v>152909.79119825183</v>
      </c>
      <c r="K40" s="21">
        <f>IF(E40&lt;=0.005,0,IF(Hipoteca!$C$8="Reducir cuota",$K$6-(B40-1),IFERROR(MAX(1,ROUNDUP(NPER(D39/12,-F39,E40),0)),$K$6-(B40-1))))</f>
        <v>285</v>
      </c>
      <c r="L40" s="21">
        <f>YEAR(C40)</f>
        <v>2029</v>
      </c>
      <c r="N40" s="25">
        <f>R39</f>
        <v>168751.9048433861</v>
      </c>
      <c r="O40" s="25">
        <f>IF(N40&lt;=0.005,0,IF(D40&lt;&gt;D39,PMT(D40/12,Hipoteca!$C$5*12-(B40-1),-N40),O39))</f>
        <v>748.6477272887904</v>
      </c>
      <c r="P40" s="25">
        <f>N40*D40/12</f>
        <v>407.8171033715164</v>
      </c>
      <c r="Q40" s="25">
        <f>IF(N40&lt;=0.005,0,MIN(N40,O40-P40))</f>
        <v>340.830623917274</v>
      </c>
      <c r="R40" s="25">
        <f>MAX(0,N40-Q40)</f>
        <v>168411.0742194688</v>
      </c>
    </row>
    <row r="41" spans="2:18" ht="18" customHeight="1">
      <c r="B41" s="21">
        <f>ROW()-5</f>
        <v>36</v>
      </c>
      <c r="C41" s="22">
        <f>EDATE(Hipoteca!$C$7,B41-1)</f>
        <v>47392.0</v>
      </c>
      <c r="D41" s="23">
        <f>IFERROR(LOOKUP(2,1/((Hipoteca!$E$4:$E$9&lt;&gt;"")*(Hipoteca!$E$4:$E$9&lt;=C41)),Hipoteca!$F$4:$F$9),Hipoteca!$C$6)</f>
        <v>0.029</v>
      </c>
      <c r="E41" s="24">
        <f>J40</f>
        <v>152909.79119825183</v>
      </c>
      <c r="F41" s="24">
        <f>IF(E41&lt;=0.005,0,MIN(E41*(1+D41/12),IF(OR(Hipoteca!$C$8="Reducir cuota",D41&lt;&gt;D40),PMT(D41/12,K41,-E41),F40)))</f>
        <v>746.6003367545769</v>
      </c>
      <c r="G41" s="24">
        <f>E41*D41/12</f>
        <v>369.53199539577525</v>
      </c>
      <c r="H41" s="24">
        <f>IF(E41&lt;=0.005,0,MIN(E41,F41-G41))</f>
        <v>377.06834135880166</v>
      </c>
      <c r="I41" s="24">
        <f>MIN(E41-H41,SUMPRODUCT((YEAR(Hipoteca!$H$4:$H$15)=YEAR(C41))*(MONTH(Hipoteca!$H$4:$H$15)=MONTH(C41))*(Hipoteca!$H$4:$H$15&lt;&gt;"")*Hipoteca!$I$4:$I$15))</f>
        <v>0</v>
      </c>
      <c r="J41" s="24">
        <f>MAX(0,E41-H41-I41)</f>
        <v>152532.72285689303</v>
      </c>
      <c r="K41" s="21">
        <f>IF(E41&lt;=0.005,0,IF(Hipoteca!$C$8="Reducir cuota",$K$6-(B41-1),IFERROR(MAX(1,ROUNDUP(NPER(D40/12,-F40,E41),0)),$K$6-(B41-1))))</f>
        <v>284</v>
      </c>
      <c r="L41" s="21">
        <f>YEAR(C41)</f>
        <v>2029</v>
      </c>
      <c r="N41" s="25">
        <f>R40</f>
        <v>168411.0742194688</v>
      </c>
      <c r="O41" s="25">
        <f>IF(N41&lt;=0.005,0,IF(D41&lt;&gt;D40,PMT(D41/12,Hipoteca!$C$5*12-(B41-1),-N41),O40))</f>
        <v>748.6477272887904</v>
      </c>
      <c r="P41" s="25">
        <f>N41*D41/12</f>
        <v>406.9934293637163</v>
      </c>
      <c r="Q41" s="25">
        <f>IF(N41&lt;=0.005,0,MIN(N41,O41-P41))</f>
        <v>341.6542979250741</v>
      </c>
      <c r="R41" s="25">
        <f>MAX(0,N41-Q41)</f>
        <v>168069.41992154374</v>
      </c>
    </row>
    <row r="42" spans="2:18" ht="18" customHeight="1">
      <c r="B42" s="21">
        <f>ROW()-5</f>
        <v>37</v>
      </c>
      <c r="C42" s="22">
        <f>EDATE(Hipoteca!$C$7,B42-1)</f>
        <v>47423.0</v>
      </c>
      <c r="D42" s="23">
        <f>IFERROR(LOOKUP(2,1/((Hipoteca!$E$4:$E$9&lt;&gt;"")*(Hipoteca!$E$4:$E$9&lt;=C42)),Hipoteca!$F$4:$F$9),Hipoteca!$C$6)</f>
        <v>0.029</v>
      </c>
      <c r="E42" s="24">
        <f>J41</f>
        <v>152532.72285689303</v>
      </c>
      <c r="F42" s="24">
        <f>IF(E42&lt;=0.005,0,MIN(E42*(1+D42/12),IF(OR(Hipoteca!$C$8="Reducir cuota",D42&lt;&gt;D41),PMT(D42/12,K42,-E42),F41)))</f>
        <v>746.6003367545769</v>
      </c>
      <c r="G42" s="24">
        <f>E42*D42/12</f>
        <v>368.6207469041581</v>
      </c>
      <c r="H42" s="24">
        <f>IF(E42&lt;=0.005,0,MIN(E42,F42-G42))</f>
        <v>377.9795898504188</v>
      </c>
      <c r="I42" s="24">
        <f>MIN(E42-H42,SUMPRODUCT((YEAR(Hipoteca!$H$4:$H$15)=YEAR(C42))*(MONTH(Hipoteca!$H$4:$H$15)=MONTH(C42))*(Hipoteca!$H$4:$H$15&lt;&gt;"")*Hipoteca!$I$4:$I$15))</f>
        <v>0</v>
      </c>
      <c r="J42" s="24">
        <f>MAX(0,E42-H42-I42)</f>
        <v>152154.74326704262</v>
      </c>
      <c r="K42" s="21">
        <f>IF(E42&lt;=0.005,0,IF(Hipoteca!$C$8="Reducir cuota",$K$6-(B42-1),IFERROR(MAX(1,ROUNDUP(NPER(D41/12,-F41,E42),0)),$K$6-(B42-1))))</f>
        <v>283</v>
      </c>
      <c r="L42" s="21">
        <f>YEAR(C42)</f>
        <v>2029</v>
      </c>
      <c r="N42" s="25">
        <f>R41</f>
        <v>168069.41992154374</v>
      </c>
      <c r="O42" s="25">
        <f>IF(N42&lt;=0.005,0,IF(D42&lt;&gt;D41,PMT(D42/12,Hipoteca!$C$5*12-(B42-1),-N42),O41))</f>
        <v>748.6477272887904</v>
      </c>
      <c r="P42" s="25">
        <f>N42*D42/12</f>
        <v>406.1677648103974</v>
      </c>
      <c r="Q42" s="25">
        <f>IF(N42&lt;=0.005,0,MIN(N42,O42-P42))</f>
        <v>342.479962478393</v>
      </c>
      <c r="R42" s="25">
        <f>MAX(0,N42-Q42)</f>
        <v>167726.93995906535</v>
      </c>
    </row>
    <row r="43" spans="2:18" ht="18" customHeight="1">
      <c r="B43" s="21">
        <f>ROW()-5</f>
        <v>38</v>
      </c>
      <c r="C43" s="22">
        <f>EDATE(Hipoteca!$C$7,B43-1)</f>
        <v>47453.0</v>
      </c>
      <c r="D43" s="23">
        <f>IFERROR(LOOKUP(2,1/((Hipoteca!$E$4:$E$9&lt;&gt;"")*(Hipoteca!$E$4:$E$9&lt;=C43)),Hipoteca!$F$4:$F$9),Hipoteca!$C$6)</f>
        <v>0.029</v>
      </c>
      <c r="E43" s="24">
        <f>J42</f>
        <v>152154.74326704262</v>
      </c>
      <c r="F43" s="24">
        <f>IF(E43&lt;=0.005,0,MIN(E43*(1+D43/12),IF(OR(Hipoteca!$C$8="Reducir cuota",D43&lt;&gt;D42),PMT(D43/12,K43,-E43),F42)))</f>
        <v>746.6003367545769</v>
      </c>
      <c r="G43" s="24">
        <f>E43*D43/12</f>
        <v>367.70729622868635</v>
      </c>
      <c r="H43" s="24">
        <f>IF(E43&lt;=0.005,0,MIN(E43,F43-G43))</f>
        <v>378.89304052589057</v>
      </c>
      <c r="I43" s="24">
        <f>MIN(E43-H43,SUMPRODUCT((YEAR(Hipoteca!$H$4:$H$15)=YEAR(C43))*(MONTH(Hipoteca!$H$4:$H$15)=MONTH(C43))*(Hipoteca!$H$4:$H$15&lt;&gt;"")*Hipoteca!$I$4:$I$15))</f>
        <v>0</v>
      </c>
      <c r="J43" s="24">
        <f>MAX(0,E43-H43-I43)</f>
        <v>151775.85022651672</v>
      </c>
      <c r="K43" s="21">
        <f>IF(E43&lt;=0.005,0,IF(Hipoteca!$C$8="Reducir cuota",$K$6-(B43-1),IFERROR(MAX(1,ROUNDUP(NPER(D42/12,-F42,E43),0)),$K$6-(B43-1))))</f>
        <v>282</v>
      </c>
      <c r="L43" s="21">
        <f>YEAR(C43)</f>
        <v>2029</v>
      </c>
      <c r="N43" s="25">
        <f>R42</f>
        <v>167726.93995906535</v>
      </c>
      <c r="O43" s="25">
        <f>IF(N43&lt;=0.005,0,IF(D43&lt;&gt;D42,PMT(D43/12,Hipoteca!$C$5*12-(B43-1),-N43),O42))</f>
        <v>748.6477272887904</v>
      </c>
      <c r="P43" s="25">
        <f>N43*D43/12</f>
        <v>405.34010490107465</v>
      </c>
      <c r="Q43" s="25">
        <f>IF(N43&lt;=0.005,0,MIN(N43,O43-P43))</f>
        <v>343.30762238771575</v>
      </c>
      <c r="R43" s="25">
        <f>MAX(0,N43-Q43)</f>
        <v>167383.63233667763</v>
      </c>
    </row>
    <row r="44" spans="2:18" ht="18" customHeight="1">
      <c r="B44" s="21">
        <f>ROW()-5</f>
        <v>39</v>
      </c>
      <c r="C44" s="22">
        <f>EDATE(Hipoteca!$C$7,B44-1)</f>
        <v>47484.0</v>
      </c>
      <c r="D44" s="23">
        <f>IFERROR(LOOKUP(2,1/((Hipoteca!$E$4:$E$9&lt;&gt;"")*(Hipoteca!$E$4:$E$9&lt;=C44)),Hipoteca!$F$4:$F$9),Hipoteca!$C$6)</f>
        <v>0.029</v>
      </c>
      <c r="E44" s="24">
        <f>J43</f>
        <v>151775.85022651672</v>
      </c>
      <c r="F44" s="24">
        <f>IF(E44&lt;=0.005,0,MIN(E44*(1+D44/12),IF(OR(Hipoteca!$C$8="Reducir cuota",D44&lt;&gt;D43),PMT(D44/12,K44,-E44),F43)))</f>
        <v>746.6003367545769</v>
      </c>
      <c r="G44" s="24">
        <f>E44*D44/12</f>
        <v>366.79163804741546</v>
      </c>
      <c r="H44" s="24">
        <f>IF(E44&lt;=0.005,0,MIN(E44,F44-G44))</f>
        <v>379.80869870716145</v>
      </c>
      <c r="I44" s="24">
        <f>MIN(E44-H44,SUMPRODUCT((YEAR(Hipoteca!$H$4:$H$15)=YEAR(C44))*(MONTH(Hipoteca!$H$4:$H$15)=MONTH(C44))*(Hipoteca!$H$4:$H$15&lt;&gt;"")*Hipoteca!$I$4:$I$15))</f>
        <v>0</v>
      </c>
      <c r="J44" s="24">
        <f>MAX(0,E44-H44-I44)</f>
        <v>151396.04152780955</v>
      </c>
      <c r="K44" s="21">
        <f>IF(E44&lt;=0.005,0,IF(Hipoteca!$C$8="Reducir cuota",$K$6-(B44-1),IFERROR(MAX(1,ROUNDUP(NPER(D43/12,-F43,E44),0)),$K$6-(B44-1))))</f>
        <v>281</v>
      </c>
      <c r="L44" s="21">
        <f>YEAR(C44)</f>
        <v>2030</v>
      </c>
      <c r="N44" s="25">
        <f>R43</f>
        <v>167383.63233667763</v>
      </c>
      <c r="O44" s="25">
        <f>IF(N44&lt;=0.005,0,IF(D44&lt;&gt;D43,PMT(D44/12,Hipoteca!$C$5*12-(B44-1),-N44),O43))</f>
        <v>748.6477272887904</v>
      </c>
      <c r="P44" s="25">
        <f>N44*D44/12</f>
        <v>404.5104448136376</v>
      </c>
      <c r="Q44" s="25">
        <f>IF(N44&lt;=0.005,0,MIN(N44,O44-P44))</f>
        <v>344.1372824751528</v>
      </c>
      <c r="R44" s="25">
        <f>MAX(0,N44-Q44)</f>
        <v>167039.49505420247</v>
      </c>
    </row>
    <row r="45" spans="2:18" ht="18" customHeight="1">
      <c r="B45" s="21">
        <f>ROW()-5</f>
        <v>40</v>
      </c>
      <c r="C45" s="22">
        <f>EDATE(Hipoteca!$C$7,B45-1)</f>
        <v>47515.0</v>
      </c>
      <c r="D45" s="23">
        <f>IFERROR(LOOKUP(2,1/((Hipoteca!$E$4:$E$9&lt;&gt;"")*(Hipoteca!$E$4:$E$9&lt;=C45)),Hipoteca!$F$4:$F$9),Hipoteca!$C$6)</f>
        <v>0.029</v>
      </c>
      <c r="E45" s="24">
        <f>J44</f>
        <v>151396.04152780955</v>
      </c>
      <c r="F45" s="24">
        <f>IF(E45&lt;=0.005,0,MIN(E45*(1+D45/12),IF(OR(Hipoteca!$C$8="Reducir cuota",D45&lt;&gt;D44),PMT(D45/12,K45,-E45),F44)))</f>
        <v>746.6003367545769</v>
      </c>
      <c r="G45" s="24">
        <f>E45*D45/12</f>
        <v>365.8737670255398</v>
      </c>
      <c r="H45" s="24">
        <f>IF(E45&lt;=0.005,0,MIN(E45,F45-G45))</f>
        <v>380.7265697290371</v>
      </c>
      <c r="I45" s="24">
        <f>MIN(E45-H45,SUMPRODUCT((YEAR(Hipoteca!$H$4:$H$15)=YEAR(C45))*(MONTH(Hipoteca!$H$4:$H$15)=MONTH(C45))*(Hipoteca!$H$4:$H$15&lt;&gt;"")*Hipoteca!$I$4:$I$15))</f>
        <v>0</v>
      </c>
      <c r="J45" s="24">
        <f>MAX(0,E45-H45-I45)</f>
        <v>151015.3149580805</v>
      </c>
      <c r="K45" s="21">
        <f>IF(E45&lt;=0.005,0,IF(Hipoteca!$C$8="Reducir cuota",$K$6-(B45-1),IFERROR(MAX(1,ROUNDUP(NPER(D44/12,-F44,E45),0)),$K$6-(B45-1))))</f>
        <v>280</v>
      </c>
      <c r="L45" s="21">
        <f>YEAR(C45)</f>
        <v>2030</v>
      </c>
      <c r="N45" s="25">
        <f>R44</f>
        <v>167039.49505420247</v>
      </c>
      <c r="O45" s="25">
        <f>IF(N45&lt;=0.005,0,IF(D45&lt;&gt;D44,PMT(D45/12,Hipoteca!$C$5*12-(B45-1),-N45),O44))</f>
        <v>748.6477272887904</v>
      </c>
      <c r="P45" s="25">
        <f>N45*D45/12</f>
        <v>403.6787797143227</v>
      </c>
      <c r="Q45" s="25">
        <f>IF(N45&lt;=0.005,0,MIN(N45,O45-P45))</f>
        <v>344.96894757446773</v>
      </c>
      <c r="R45" s="25">
        <f>MAX(0,N45-Q45)</f>
        <v>166694.526106628</v>
      </c>
    </row>
    <row r="46" spans="2:18" ht="18" customHeight="1">
      <c r="B46" s="21">
        <f>ROW()-5</f>
        <v>41</v>
      </c>
      <c r="C46" s="22">
        <f>EDATE(Hipoteca!$C$7,B46-1)</f>
        <v>47543.0</v>
      </c>
      <c r="D46" s="23">
        <f>IFERROR(LOOKUP(2,1/((Hipoteca!$E$4:$E$9&lt;&gt;"")*(Hipoteca!$E$4:$E$9&lt;=C46)),Hipoteca!$F$4:$F$9),Hipoteca!$C$6)</f>
        <v>0.029</v>
      </c>
      <c r="E46" s="24">
        <f>J45</f>
        <v>151015.3149580805</v>
      </c>
      <c r="F46" s="24">
        <f>IF(E46&lt;=0.005,0,MIN(E46*(1+D46/12),IF(OR(Hipoteca!$C$8="Reducir cuota",D46&lt;&gt;D45),PMT(D46/12,K46,-E46),F45)))</f>
        <v>746.6003367545769</v>
      </c>
      <c r="G46" s="24">
        <f>E46*D46/12</f>
        <v>364.95367781536123</v>
      </c>
      <c r="H46" s="24">
        <f>IF(E46&lt;=0.005,0,MIN(E46,F46-G46))</f>
        <v>381.6466589392157</v>
      </c>
      <c r="I46" s="24">
        <f>MIN(E46-H46,SUMPRODUCT((YEAR(Hipoteca!$H$4:$H$15)=YEAR(C46))*(MONTH(Hipoteca!$H$4:$H$15)=MONTH(C46))*(Hipoteca!$H$4:$H$15&lt;&gt;"")*Hipoteca!$I$4:$I$15))</f>
        <v>0</v>
      </c>
      <c r="J46" s="24">
        <f>MAX(0,E46-H46-I46)</f>
        <v>150633.66829914128</v>
      </c>
      <c r="K46" s="21">
        <f>IF(E46&lt;=0.005,0,IF(Hipoteca!$C$8="Reducir cuota",$K$6-(B46-1),IFERROR(MAX(1,ROUNDUP(NPER(D45/12,-F45,E46),0)),$K$6-(B46-1))))</f>
        <v>279</v>
      </c>
      <c r="L46" s="21">
        <f>YEAR(C46)</f>
        <v>2030</v>
      </c>
      <c r="N46" s="25">
        <f>R45</f>
        <v>166694.526106628</v>
      </c>
      <c r="O46" s="25">
        <f>IF(N46&lt;=0.005,0,IF(D46&lt;&gt;D45,PMT(D46/12,Hipoteca!$C$5*12-(B46-1),-N46),O45))</f>
        <v>748.6477272887904</v>
      </c>
      <c r="P46" s="25">
        <f>N46*D46/12</f>
        <v>402.84510475768434</v>
      </c>
      <c r="Q46" s="25">
        <f>IF(N46&lt;=0.005,0,MIN(N46,O46-P46))</f>
        <v>345.80262253110607</v>
      </c>
      <c r="R46" s="25">
        <f>MAX(0,N46-Q46)</f>
        <v>166348.7234840969</v>
      </c>
    </row>
    <row r="47" spans="2:18" ht="18" customHeight="1">
      <c r="B47" s="21">
        <f>ROW()-5</f>
        <v>42</v>
      </c>
      <c r="C47" s="22">
        <f>EDATE(Hipoteca!$C$7,B47-1)</f>
        <v>47574.0</v>
      </c>
      <c r="D47" s="23">
        <f>IFERROR(LOOKUP(2,1/((Hipoteca!$E$4:$E$9&lt;&gt;"")*(Hipoteca!$E$4:$E$9&lt;=C47)),Hipoteca!$F$4:$F$9),Hipoteca!$C$6)</f>
        <v>0.029</v>
      </c>
      <c r="E47" s="24">
        <f>J46</f>
        <v>150633.66829914128</v>
      </c>
      <c r="F47" s="24">
        <f>IF(E47&lt;=0.005,0,MIN(E47*(1+D47/12),IF(OR(Hipoteca!$C$8="Reducir cuota",D47&lt;&gt;D46),PMT(D47/12,K47,-E47),F46)))</f>
        <v>746.6003367545769</v>
      </c>
      <c r="G47" s="24">
        <f>E47*D47/12</f>
        <v>364.03136505625815</v>
      </c>
      <c r="H47" s="24">
        <f>IF(E47&lt;=0.005,0,MIN(E47,F47-G47))</f>
        <v>382.56897169831876</v>
      </c>
      <c r="I47" s="24">
        <f>MIN(E47-H47,SUMPRODUCT((YEAR(Hipoteca!$H$4:$H$15)=YEAR(C47))*(MONTH(Hipoteca!$H$4:$H$15)=MONTH(C47))*(Hipoteca!$H$4:$H$15&lt;&gt;"")*Hipoteca!$I$4:$I$15))</f>
        <v>0</v>
      </c>
      <c r="J47" s="24">
        <f>MAX(0,E47-H47-I47)</f>
        <v>150251.09932744296</v>
      </c>
      <c r="K47" s="21">
        <f>IF(E47&lt;=0.005,0,IF(Hipoteca!$C$8="Reducir cuota",$K$6-(B47-1),IFERROR(MAX(1,ROUNDUP(NPER(D46/12,-F46,E47),0)),$K$6-(B47-1))))</f>
        <v>278</v>
      </c>
      <c r="L47" s="21">
        <f>YEAR(C47)</f>
        <v>2030</v>
      </c>
      <c r="N47" s="25">
        <f>R46</f>
        <v>166348.7234840969</v>
      </c>
      <c r="O47" s="25">
        <f>IF(N47&lt;=0.005,0,IF(D47&lt;&gt;D46,PMT(D47/12,Hipoteca!$C$5*12-(B47-1),-N47),O46))</f>
        <v>748.6477272887904</v>
      </c>
      <c r="P47" s="25">
        <f>N47*D47/12</f>
        <v>402.0094150865675</v>
      </c>
      <c r="Q47" s="25">
        <f>IF(N47&lt;=0.005,0,MIN(N47,O47-P47))</f>
        <v>346.6383122022229</v>
      </c>
      <c r="R47" s="25">
        <f>MAX(0,N47-Q47)</f>
        <v>166002.0851718947</v>
      </c>
    </row>
    <row r="48" spans="2:18" ht="18" customHeight="1">
      <c r="B48" s="21">
        <f>ROW()-5</f>
        <v>43</v>
      </c>
      <c r="C48" s="22">
        <f>EDATE(Hipoteca!$C$7,B48-1)</f>
        <v>47604.0</v>
      </c>
      <c r="D48" s="23">
        <f>IFERROR(LOOKUP(2,1/((Hipoteca!$E$4:$E$9&lt;&gt;"")*(Hipoteca!$E$4:$E$9&lt;=C48)),Hipoteca!$F$4:$F$9),Hipoteca!$C$6)</f>
        <v>0.029</v>
      </c>
      <c r="E48" s="24">
        <f>J47</f>
        <v>150251.09932744296</v>
      </c>
      <c r="F48" s="24">
        <f>IF(E48&lt;=0.005,0,MIN(E48*(1+D48/12),IF(OR(Hipoteca!$C$8="Reducir cuota",D48&lt;&gt;D47),PMT(D48/12,K48,-E48),F47)))</f>
        <v>746.6003367545769</v>
      </c>
      <c r="G48" s="24">
        <f>E48*D48/12</f>
        <v>363.10682337465386</v>
      </c>
      <c r="H48" s="24">
        <f>IF(E48&lt;=0.005,0,MIN(E48,F48-G48))</f>
        <v>383.49351337992306</v>
      </c>
      <c r="I48" s="24">
        <f>MIN(E48-H48,SUMPRODUCT((YEAR(Hipoteca!$H$4:$H$15)=YEAR(C48))*(MONTH(Hipoteca!$H$4:$H$15)=MONTH(C48))*(Hipoteca!$H$4:$H$15&lt;&gt;"")*Hipoteca!$I$4:$I$15))</f>
        <v>0</v>
      </c>
      <c r="J48" s="24">
        <f>MAX(0,E48-H48-I48)</f>
        <v>149867.60581406305</v>
      </c>
      <c r="K48" s="21">
        <f>IF(E48&lt;=0.005,0,IF(Hipoteca!$C$8="Reducir cuota",$K$6-(B48-1),IFERROR(MAX(1,ROUNDUP(NPER(D47/12,-F47,E48),0)),$K$6-(B48-1))))</f>
        <v>277</v>
      </c>
      <c r="L48" s="21">
        <f>YEAR(C48)</f>
        <v>2030</v>
      </c>
      <c r="N48" s="25">
        <f>R47</f>
        <v>166002.0851718947</v>
      </c>
      <c r="O48" s="25">
        <f>IF(N48&lt;=0.005,0,IF(D48&lt;&gt;D47,PMT(D48/12,Hipoteca!$C$5*12-(B48-1),-N48),O47))</f>
        <v>748.6477272887904</v>
      </c>
      <c r="P48" s="25">
        <f>N48*D48/12</f>
        <v>401.1717058320789</v>
      </c>
      <c r="Q48" s="25">
        <f>IF(N48&lt;=0.005,0,MIN(N48,O48-P48))</f>
        <v>347.4760214567115</v>
      </c>
      <c r="R48" s="25">
        <f>MAX(0,N48-Q48)</f>
        <v>165654.609150438</v>
      </c>
    </row>
    <row r="49" spans="2:18" ht="18" customHeight="1">
      <c r="B49" s="21">
        <f>ROW()-5</f>
        <v>44</v>
      </c>
      <c r="C49" s="22">
        <f>EDATE(Hipoteca!$C$7,B49-1)</f>
        <v>47635.0</v>
      </c>
      <c r="D49" s="23">
        <f>IFERROR(LOOKUP(2,1/((Hipoteca!$E$4:$E$9&lt;&gt;"")*(Hipoteca!$E$4:$E$9&lt;=C49)),Hipoteca!$F$4:$F$9),Hipoteca!$C$6)</f>
        <v>0.029</v>
      </c>
      <c r="E49" s="24">
        <f>J48</f>
        <v>149867.60581406305</v>
      </c>
      <c r="F49" s="24">
        <f>IF(E49&lt;=0.005,0,MIN(E49*(1+D49/12),IF(OR(Hipoteca!$C$8="Reducir cuota",D49&lt;&gt;D48),PMT(D49/12,K49,-E49),F48)))</f>
        <v>746.6003367545769</v>
      </c>
      <c r="G49" s="24">
        <f>E49*D49/12</f>
        <v>362.1800473839857</v>
      </c>
      <c r="H49" s="24">
        <f>IF(E49&lt;=0.005,0,MIN(E49,F49-G49))</f>
        <v>384.4202893705912</v>
      </c>
      <c r="I49" s="24">
        <f>MIN(E49-H49,SUMPRODUCT((YEAR(Hipoteca!$H$4:$H$15)=YEAR(C49))*(MONTH(Hipoteca!$H$4:$H$15)=MONTH(C49))*(Hipoteca!$H$4:$H$15&lt;&gt;"")*Hipoteca!$I$4:$I$15))</f>
        <v>0</v>
      </c>
      <c r="J49" s="24">
        <f>MAX(0,E49-H49-I49)</f>
        <v>149483.18552469247</v>
      </c>
      <c r="K49" s="21">
        <f>IF(E49&lt;=0.005,0,IF(Hipoteca!$C$8="Reducir cuota",$K$6-(B49-1),IFERROR(MAX(1,ROUNDUP(NPER(D48/12,-F48,E49),0)),$K$6-(B49-1))))</f>
        <v>276</v>
      </c>
      <c r="L49" s="21">
        <f>YEAR(C49)</f>
        <v>2030</v>
      </c>
      <c r="N49" s="25">
        <f>R48</f>
        <v>165654.609150438</v>
      </c>
      <c r="O49" s="25">
        <f>IF(N49&lt;=0.005,0,IF(D49&lt;&gt;D48,PMT(D49/12,Hipoteca!$C$5*12-(B49-1),-N49),O48))</f>
        <v>748.6477272887904</v>
      </c>
      <c r="P49" s="25">
        <f>N49*D49/12</f>
        <v>400.3319721135585</v>
      </c>
      <c r="Q49" s="25">
        <f>IF(N49&lt;=0.005,0,MIN(N49,O49-P49))</f>
        <v>348.3157551752319</v>
      </c>
      <c r="R49" s="25">
        <f>MAX(0,N49-Q49)</f>
        <v>165306.29339526276</v>
      </c>
    </row>
    <row r="50" spans="2:18" ht="18" customHeight="1">
      <c r="B50" s="21">
        <f>ROW()-5</f>
        <v>45</v>
      </c>
      <c r="C50" s="22">
        <f>EDATE(Hipoteca!$C$7,B50-1)</f>
        <v>47665.0</v>
      </c>
      <c r="D50" s="23">
        <f>IFERROR(LOOKUP(2,1/((Hipoteca!$E$4:$E$9&lt;&gt;"")*(Hipoteca!$E$4:$E$9&lt;=C50)),Hipoteca!$F$4:$F$9),Hipoteca!$C$6)</f>
        <v>0.029</v>
      </c>
      <c r="E50" s="24">
        <f>J49</f>
        <v>149483.18552469247</v>
      </c>
      <c r="F50" s="24">
        <f>IF(E50&lt;=0.005,0,MIN(E50*(1+D50/12),IF(OR(Hipoteca!$C$8="Reducir cuota",D50&lt;&gt;D49),PMT(D50/12,K50,-E50),F49)))</f>
        <v>746.6003367545769</v>
      </c>
      <c r="G50" s="24">
        <f>E50*D50/12</f>
        <v>361.2510316846735</v>
      </c>
      <c r="H50" s="24">
        <f>IF(E50&lt;=0.005,0,MIN(E50,F50-G50))</f>
        <v>385.34930506990344</v>
      </c>
      <c r="I50" s="24">
        <f>MIN(E50-H50,SUMPRODUCT((YEAR(Hipoteca!$H$4:$H$15)=YEAR(C50))*(MONTH(Hipoteca!$H$4:$H$15)=MONTH(C50))*(Hipoteca!$H$4:$H$15&lt;&gt;"")*Hipoteca!$I$4:$I$15))</f>
        <v>0</v>
      </c>
      <c r="J50" s="24">
        <f>MAX(0,E50-H50-I50)</f>
        <v>149097.83621962258</v>
      </c>
      <c r="K50" s="21">
        <f>IF(E50&lt;=0.005,0,IF(Hipoteca!$C$8="Reducir cuota",$K$6-(B50-1),IFERROR(MAX(1,ROUNDUP(NPER(D49/12,-F49,E50),0)),$K$6-(B50-1))))</f>
        <v>275</v>
      </c>
      <c r="L50" s="21">
        <f>YEAR(C50)</f>
        <v>2030</v>
      </c>
      <c r="N50" s="25">
        <f>R49</f>
        <v>165306.29339526276</v>
      </c>
      <c r="O50" s="25">
        <f>IF(N50&lt;=0.005,0,IF(D50&lt;&gt;D49,PMT(D50/12,Hipoteca!$C$5*12-(B50-1),-N50),O49))</f>
        <v>748.6477272887904</v>
      </c>
      <c r="P50" s="25">
        <f>N50*D50/12</f>
        <v>399.4902090385517</v>
      </c>
      <c r="Q50" s="25">
        <f>IF(N50&lt;=0.005,0,MIN(N50,O50-P50))</f>
        <v>349.1575182502387</v>
      </c>
      <c r="R50" s="25">
        <f>MAX(0,N50-Q50)</f>
        <v>164957.13587701254</v>
      </c>
    </row>
    <row r="51" spans="2:18" ht="18" customHeight="1">
      <c r="B51" s="21">
        <f>ROW()-5</f>
        <v>46</v>
      </c>
      <c r="C51" s="22">
        <f>EDATE(Hipoteca!$C$7,B51-1)</f>
        <v>47696.0</v>
      </c>
      <c r="D51" s="23">
        <f>IFERROR(LOOKUP(2,1/((Hipoteca!$E$4:$E$9&lt;&gt;"")*(Hipoteca!$E$4:$E$9&lt;=C51)),Hipoteca!$F$4:$F$9),Hipoteca!$C$6)</f>
        <v>0.029</v>
      </c>
      <c r="E51" s="24">
        <f>J50</f>
        <v>149097.83621962258</v>
      </c>
      <c r="F51" s="24">
        <f>IF(E51&lt;=0.005,0,MIN(E51*(1+D51/12),IF(OR(Hipoteca!$C$8="Reducir cuota",D51&lt;&gt;D50),PMT(D51/12,K51,-E51),F50)))</f>
        <v>746.6003367545769</v>
      </c>
      <c r="G51" s="24">
        <f>E51*D51/12</f>
        <v>360.31977086408796</v>
      </c>
      <c r="H51" s="24">
        <f>IF(E51&lt;=0.005,0,MIN(E51,F51-G51))</f>
        <v>386.28056589048896</v>
      </c>
      <c r="I51" s="24">
        <f>MIN(E51-H51,SUMPRODUCT((YEAR(Hipoteca!$H$4:$H$15)=YEAR(C51))*(MONTH(Hipoteca!$H$4:$H$15)=MONTH(C51))*(Hipoteca!$H$4:$H$15&lt;&gt;"")*Hipoteca!$I$4:$I$15))</f>
        <v>0</v>
      </c>
      <c r="J51" s="24">
        <f>MAX(0,E51-H51-I51)</f>
        <v>148711.5556537321</v>
      </c>
      <c r="K51" s="21">
        <f>IF(E51&lt;=0.005,0,IF(Hipoteca!$C$8="Reducir cuota",$K$6-(B51-1),IFERROR(MAX(1,ROUNDUP(NPER(D50/12,-F50,E51),0)),$K$6-(B51-1))))</f>
        <v>274</v>
      </c>
      <c r="L51" s="21">
        <f>YEAR(C51)</f>
        <v>2030</v>
      </c>
      <c r="N51" s="25">
        <f>R50</f>
        <v>164957.13587701254</v>
      </c>
      <c r="O51" s="25">
        <f>IF(N51&lt;=0.005,0,IF(D51&lt;&gt;D50,PMT(D51/12,Hipoteca!$C$5*12-(B51-1),-N51),O50))</f>
        <v>748.6477272887904</v>
      </c>
      <c r="P51" s="25">
        <f>N51*D51/12</f>
        <v>398.6464117027803</v>
      </c>
      <c r="Q51" s="25">
        <f>IF(N51&lt;=0.005,0,MIN(N51,O51-P51))</f>
        <v>350.0013155860101</v>
      </c>
      <c r="R51" s="25">
        <f>MAX(0,N51-Q51)</f>
        <v>164607.13456142653</v>
      </c>
    </row>
    <row r="52" spans="2:18" ht="18" customHeight="1">
      <c r="B52" s="21">
        <f>ROW()-5</f>
        <v>47</v>
      </c>
      <c r="C52" s="22">
        <f>EDATE(Hipoteca!$C$7,B52-1)</f>
        <v>47727.0</v>
      </c>
      <c r="D52" s="23">
        <f>IFERROR(LOOKUP(2,1/((Hipoteca!$E$4:$E$9&lt;&gt;"")*(Hipoteca!$E$4:$E$9&lt;=C52)),Hipoteca!$F$4:$F$9),Hipoteca!$C$6)</f>
        <v>0.029</v>
      </c>
      <c r="E52" s="24">
        <f>J51</f>
        <v>148711.5556537321</v>
      </c>
      <c r="F52" s="24">
        <f>IF(E52&lt;=0.005,0,MIN(E52*(1+D52/12),IF(OR(Hipoteca!$C$8="Reducir cuota",D52&lt;&gt;D51),PMT(D52/12,K52,-E52),F51)))</f>
        <v>746.6003367545769</v>
      </c>
      <c r="G52" s="24">
        <f>E52*D52/12</f>
        <v>359.38625949651924</v>
      </c>
      <c r="H52" s="24">
        <f>IF(E52&lt;=0.005,0,MIN(E52,F52-G52))</f>
        <v>387.21407725805767</v>
      </c>
      <c r="I52" s="24">
        <f>MIN(E52-H52,SUMPRODUCT((YEAR(Hipoteca!$H$4:$H$15)=YEAR(C52))*(MONTH(Hipoteca!$H$4:$H$15)=MONTH(C52))*(Hipoteca!$H$4:$H$15&lt;&gt;"")*Hipoteca!$I$4:$I$15))</f>
        <v>0</v>
      </c>
      <c r="J52" s="24">
        <f>MAX(0,E52-H52-I52)</f>
        <v>148324.34157647405</v>
      </c>
      <c r="K52" s="21">
        <f>IF(E52&lt;=0.005,0,IF(Hipoteca!$C$8="Reducir cuota",$K$6-(B52-1),IFERROR(MAX(1,ROUNDUP(NPER(D51/12,-F51,E52),0)),$K$6-(B52-1))))</f>
        <v>273</v>
      </c>
      <c r="L52" s="21">
        <f>YEAR(C52)</f>
        <v>2030</v>
      </c>
      <c r="N52" s="25">
        <f>R51</f>
        <v>164607.13456142653</v>
      </c>
      <c r="O52" s="25">
        <f>IF(N52&lt;=0.005,0,IF(D52&lt;&gt;D51,PMT(D52/12,Hipoteca!$C$5*12-(B52-1),-N52),O51))</f>
        <v>748.6477272887904</v>
      </c>
      <c r="P52" s="25">
        <f>N52*D52/12</f>
        <v>397.80057519011416</v>
      </c>
      <c r="Q52" s="25">
        <f>IF(N52&lt;=0.005,0,MIN(N52,O52-P52))</f>
        <v>350.84715209867625</v>
      </c>
      <c r="R52" s="25">
        <f>MAX(0,N52-Q52)</f>
        <v>164256.28740932787</v>
      </c>
    </row>
    <row r="53" spans="2:18" ht="18" customHeight="1">
      <c r="B53" s="21">
        <f>ROW()-5</f>
        <v>48</v>
      </c>
      <c r="C53" s="22">
        <f>EDATE(Hipoteca!$C$7,B53-1)</f>
        <v>47757.0</v>
      </c>
      <c r="D53" s="23">
        <f>IFERROR(LOOKUP(2,1/((Hipoteca!$E$4:$E$9&lt;&gt;"")*(Hipoteca!$E$4:$E$9&lt;=C53)),Hipoteca!$F$4:$F$9),Hipoteca!$C$6)</f>
        <v>0.029</v>
      </c>
      <c r="E53" s="24">
        <f>J52</f>
        <v>148324.34157647405</v>
      </c>
      <c r="F53" s="24">
        <f>IF(E53&lt;=0.005,0,MIN(E53*(1+D53/12),IF(OR(Hipoteca!$C$8="Reducir cuota",D53&lt;&gt;D52),PMT(D53/12,K53,-E53),F52)))</f>
        <v>746.6003367545769</v>
      </c>
      <c r="G53" s="24">
        <f>E53*D53/12</f>
        <v>358.4504921431456</v>
      </c>
      <c r="H53" s="24">
        <f>IF(E53&lt;=0.005,0,MIN(E53,F53-G53))</f>
        <v>388.1498446114313</v>
      </c>
      <c r="I53" s="24">
        <f>MIN(E53-H53,SUMPRODUCT((YEAR(Hipoteca!$H$4:$H$15)=YEAR(C53))*(MONTH(Hipoteca!$H$4:$H$15)=MONTH(C53))*(Hipoteca!$H$4:$H$15&lt;&gt;"")*Hipoteca!$I$4:$I$15))</f>
        <v>0</v>
      </c>
      <c r="J53" s="24">
        <f>MAX(0,E53-H53-I53)</f>
        <v>147936.1917318626</v>
      </c>
      <c r="K53" s="21">
        <f>IF(E53&lt;=0.005,0,IF(Hipoteca!$C$8="Reducir cuota",$K$6-(B53-1),IFERROR(MAX(1,ROUNDUP(NPER(D52/12,-F52,E53),0)),$K$6-(B53-1))))</f>
        <v>272</v>
      </c>
      <c r="L53" s="21">
        <f>YEAR(C53)</f>
        <v>2030</v>
      </c>
      <c r="N53" s="25">
        <f>R52</f>
        <v>164256.28740932787</v>
      </c>
      <c r="O53" s="25">
        <f>IF(N53&lt;=0.005,0,IF(D53&lt;&gt;D52,PMT(D53/12,Hipoteca!$C$5*12-(B53-1),-N53),O52))</f>
        <v>748.6477272887904</v>
      </c>
      <c r="P53" s="25">
        <f>N53*D53/12</f>
        <v>396.9526945725424</v>
      </c>
      <c r="Q53" s="25">
        <f>IF(N53&lt;=0.005,0,MIN(N53,O53-P53))</f>
        <v>351.695032716248</v>
      </c>
      <c r="R53" s="25">
        <f>MAX(0,N53-Q53)</f>
        <v>163904.59237661163</v>
      </c>
    </row>
    <row r="54" spans="2:18" ht="18" customHeight="1">
      <c r="B54" s="21">
        <f>ROW()-5</f>
        <v>49</v>
      </c>
      <c r="C54" s="22">
        <f>EDATE(Hipoteca!$C$7,B54-1)</f>
        <v>47788.0</v>
      </c>
      <c r="D54" s="23">
        <f>IFERROR(LOOKUP(2,1/((Hipoteca!$E$4:$E$9&lt;&gt;"")*(Hipoteca!$E$4:$E$9&lt;=C54)),Hipoteca!$F$4:$F$9),Hipoteca!$C$6)</f>
        <v>0.029</v>
      </c>
      <c r="E54" s="24">
        <f>J53</f>
        <v>147936.1917318626</v>
      </c>
      <c r="F54" s="24">
        <f>IF(E54&lt;=0.005,0,MIN(E54*(1+D54/12),IF(OR(Hipoteca!$C$8="Reducir cuota",D54&lt;&gt;D53),PMT(D54/12,K54,-E54),F53)))</f>
        <v>746.6003367545769</v>
      </c>
      <c r="G54" s="24">
        <f>E54*D54/12</f>
        <v>357.5124633520013</v>
      </c>
      <c r="H54" s="24">
        <f>IF(E54&lt;=0.005,0,MIN(E54,F54-G54))</f>
        <v>389.0878734025756</v>
      </c>
      <c r="I54" s="24">
        <f>MIN(E54-H54,SUMPRODUCT((YEAR(Hipoteca!$H$4:$H$15)=YEAR(C54))*(MONTH(Hipoteca!$H$4:$H$15)=MONTH(C54))*(Hipoteca!$H$4:$H$15&lt;&gt;"")*Hipoteca!$I$4:$I$15))</f>
        <v>0</v>
      </c>
      <c r="J54" s="24">
        <f>MAX(0,E54-H54-I54)</f>
        <v>147547.10385846003</v>
      </c>
      <c r="K54" s="21">
        <f>IF(E54&lt;=0.005,0,IF(Hipoteca!$C$8="Reducir cuota",$K$6-(B54-1),IFERROR(MAX(1,ROUNDUP(NPER(D53/12,-F53,E54),0)),$K$6-(B54-1))))</f>
        <v>271</v>
      </c>
      <c r="L54" s="21">
        <f>YEAR(C54)</f>
        <v>2030</v>
      </c>
      <c r="N54" s="25">
        <f>R53</f>
        <v>163904.59237661163</v>
      </c>
      <c r="O54" s="25">
        <f>IF(N54&lt;=0.005,0,IF(D54&lt;&gt;D53,PMT(D54/12,Hipoteca!$C$5*12-(B54-1),-N54),O53))</f>
        <v>748.6477272887904</v>
      </c>
      <c r="P54" s="25">
        <f>N54*D54/12</f>
        <v>396.1027649101448</v>
      </c>
      <c r="Q54" s="25">
        <f>IF(N54&lt;=0.005,0,MIN(N54,O54-P54))</f>
        <v>352.5449623786456</v>
      </c>
      <c r="R54" s="25">
        <f>MAX(0,N54-Q54)</f>
        <v>163552.04741423298</v>
      </c>
    </row>
    <row r="55" spans="2:18" ht="18" customHeight="1">
      <c r="B55" s="21">
        <f>ROW()-5</f>
        <v>50</v>
      </c>
      <c r="C55" s="22">
        <f>EDATE(Hipoteca!$C$7,B55-1)</f>
        <v>47818.0</v>
      </c>
      <c r="D55" s="23">
        <f>IFERROR(LOOKUP(2,1/((Hipoteca!$E$4:$E$9&lt;&gt;"")*(Hipoteca!$E$4:$E$9&lt;=C55)),Hipoteca!$F$4:$F$9),Hipoteca!$C$6)</f>
        <v>0.029</v>
      </c>
      <c r="E55" s="24">
        <f>J54</f>
        <v>147547.10385846003</v>
      </c>
      <c r="F55" s="24">
        <f>IF(E55&lt;=0.005,0,MIN(E55*(1+D55/12),IF(OR(Hipoteca!$C$8="Reducir cuota",D55&lt;&gt;D54),PMT(D55/12,K55,-E55),F54)))</f>
        <v>746.6003367545769</v>
      </c>
      <c r="G55" s="24">
        <f>E55*D55/12</f>
        <v>356.5721676579451</v>
      </c>
      <c r="H55" s="24">
        <f>IF(E55&lt;=0.005,0,MIN(E55,F55-G55))</f>
        <v>390.0281690966318</v>
      </c>
      <c r="I55" s="24">
        <f>MIN(E55-H55,SUMPRODUCT((YEAR(Hipoteca!$H$4:$H$15)=YEAR(C55))*(MONTH(Hipoteca!$H$4:$H$15)=MONTH(C55))*(Hipoteca!$H$4:$H$15&lt;&gt;"")*Hipoteca!$I$4:$I$15))</f>
        <v>0</v>
      </c>
      <c r="J55" s="24">
        <f>MAX(0,E55-H55-I55)</f>
        <v>147157.0756893634</v>
      </c>
      <c r="K55" s="21">
        <f>IF(E55&lt;=0.005,0,IF(Hipoteca!$C$8="Reducir cuota",$K$6-(B55-1),IFERROR(MAX(1,ROUNDUP(NPER(D54/12,-F54,E55),0)),$K$6-(B55-1))))</f>
        <v>270</v>
      </c>
      <c r="L55" s="21">
        <f>YEAR(C55)</f>
        <v>2030</v>
      </c>
      <c r="N55" s="25">
        <f>R54</f>
        <v>163552.04741423298</v>
      </c>
      <c r="O55" s="25">
        <f>IF(N55&lt;=0.005,0,IF(D55&lt;&gt;D54,PMT(D55/12,Hipoteca!$C$5*12-(B55-1),-N55),O54))</f>
        <v>748.6477272887904</v>
      </c>
      <c r="P55" s="25">
        <f>N55*D55/12</f>
        <v>395.250781251063</v>
      </c>
      <c r="Q55" s="25">
        <f>IF(N55&lt;=0.005,0,MIN(N55,O55-P55))</f>
        <v>353.3969460377274</v>
      </c>
      <c r="R55" s="25">
        <f>MAX(0,N55-Q55)</f>
        <v>163198.65046819524</v>
      </c>
    </row>
    <row r="56" spans="2:18" ht="18" customHeight="1">
      <c r="B56" s="21">
        <f>ROW()-5</f>
        <v>51</v>
      </c>
      <c r="C56" s="22">
        <f>EDATE(Hipoteca!$C$7,B56-1)</f>
        <v>47849.0</v>
      </c>
      <c r="D56" s="23">
        <f>IFERROR(LOOKUP(2,1/((Hipoteca!$E$4:$E$9&lt;&gt;"")*(Hipoteca!$E$4:$E$9&lt;=C56)),Hipoteca!$F$4:$F$9),Hipoteca!$C$6)</f>
        <v>0.029</v>
      </c>
      <c r="E56" s="24">
        <f>J55</f>
        <v>147157.0756893634</v>
      </c>
      <c r="F56" s="24">
        <f>IF(E56&lt;=0.005,0,MIN(E56*(1+D56/12),IF(OR(Hipoteca!$C$8="Reducir cuota",D56&lt;&gt;D55),PMT(D56/12,K56,-E56),F55)))</f>
        <v>746.6003367545769</v>
      </c>
      <c r="G56" s="24">
        <f>E56*D56/12</f>
        <v>355.62959958262826</v>
      </c>
      <c r="H56" s="24">
        <f>IF(E56&lt;=0.005,0,MIN(E56,F56-G56))</f>
        <v>390.97073717194866</v>
      </c>
      <c r="I56" s="24">
        <f>MIN(E56-H56,SUMPRODUCT((YEAR(Hipoteca!$H$4:$H$15)=YEAR(C56))*(MONTH(Hipoteca!$H$4:$H$15)=MONTH(C56))*(Hipoteca!$H$4:$H$15&lt;&gt;"")*Hipoteca!$I$4:$I$15))</f>
        <v>0</v>
      </c>
      <c r="J56" s="24">
        <f>MAX(0,E56-H56-I56)</f>
        <v>146766.10495219147</v>
      </c>
      <c r="K56" s="21">
        <f>IF(E56&lt;=0.005,0,IF(Hipoteca!$C$8="Reducir cuota",$K$6-(B56-1),IFERROR(MAX(1,ROUNDUP(NPER(D55/12,-F55,E56),0)),$K$6-(B56-1))))</f>
        <v>269</v>
      </c>
      <c r="L56" s="21">
        <f>YEAR(C56)</f>
        <v>2031</v>
      </c>
      <c r="N56" s="25">
        <f>R55</f>
        <v>163198.65046819524</v>
      </c>
      <c r="O56" s="25">
        <f>IF(N56&lt;=0.005,0,IF(D56&lt;&gt;D55,PMT(D56/12,Hipoteca!$C$5*12-(B56-1),-N56),O55))</f>
        <v>748.6477272887904</v>
      </c>
      <c r="P56" s="25">
        <f>N56*D56/12</f>
        <v>394.39673863147186</v>
      </c>
      <c r="Q56" s="25">
        <f>IF(N56&lt;=0.005,0,MIN(N56,O56-P56))</f>
        <v>354.25098865731854</v>
      </c>
      <c r="R56" s="25">
        <f>MAX(0,N56-Q56)</f>
        <v>162844.3994795379</v>
      </c>
    </row>
    <row r="57" spans="2:18" ht="18" customHeight="1">
      <c r="B57" s="21">
        <f>ROW()-5</f>
        <v>52</v>
      </c>
      <c r="C57" s="22">
        <f>EDATE(Hipoteca!$C$7,B57-1)</f>
        <v>47880.0</v>
      </c>
      <c r="D57" s="23">
        <f>IFERROR(LOOKUP(2,1/((Hipoteca!$E$4:$E$9&lt;&gt;"")*(Hipoteca!$E$4:$E$9&lt;=C57)),Hipoteca!$F$4:$F$9),Hipoteca!$C$6)</f>
        <v>0.029</v>
      </c>
      <c r="E57" s="24">
        <f>J56</f>
        <v>146766.10495219147</v>
      </c>
      <c r="F57" s="24">
        <f>IF(E57&lt;=0.005,0,MIN(E57*(1+D57/12),IF(OR(Hipoteca!$C$8="Reducir cuota",D57&lt;&gt;D56),PMT(D57/12,K57,-E57),F56)))</f>
        <v>746.6003367545769</v>
      </c>
      <c r="G57" s="24">
        <f>E57*D57/12</f>
        <v>354.68475363446277</v>
      </c>
      <c r="H57" s="24">
        <f>IF(E57&lt;=0.005,0,MIN(E57,F57-G57))</f>
        <v>391.91558312011415</v>
      </c>
      <c r="I57" s="24">
        <f>MIN(E57-H57,SUMPRODUCT((YEAR(Hipoteca!$H$4:$H$15)=YEAR(C57))*(MONTH(Hipoteca!$H$4:$H$15)=MONTH(C57))*(Hipoteca!$H$4:$H$15&lt;&gt;"")*Hipoteca!$I$4:$I$15))</f>
        <v>0</v>
      </c>
      <c r="J57" s="24">
        <f>MAX(0,E57-H57-I57)</f>
        <v>146374.18936907136</v>
      </c>
      <c r="K57" s="21">
        <f>IF(E57&lt;=0.005,0,IF(Hipoteca!$C$8="Reducir cuota",$K$6-(B57-1),IFERROR(MAX(1,ROUNDUP(NPER(D56/12,-F56,E57),0)),$K$6-(B57-1))))</f>
        <v>268</v>
      </c>
      <c r="L57" s="21">
        <f>YEAR(C57)</f>
        <v>2031</v>
      </c>
      <c r="N57" s="25">
        <f>R56</f>
        <v>162844.3994795379</v>
      </c>
      <c r="O57" s="25">
        <f>IF(N57&lt;=0.005,0,IF(D57&lt;&gt;D56,PMT(D57/12,Hipoteca!$C$5*12-(B57-1),-N57),O56))</f>
        <v>748.6477272887904</v>
      </c>
      <c r="P57" s="25">
        <f>N57*D57/12</f>
        <v>393.5406320755499</v>
      </c>
      <c r="Q57" s="25">
        <f>IF(N57&lt;=0.005,0,MIN(N57,O57-P57))</f>
        <v>355.1070952132405</v>
      </c>
      <c r="R57" s="25">
        <f>MAX(0,N57-Q57)</f>
        <v>162489.29238432468</v>
      </c>
    </row>
    <row r="58" spans="2:18" ht="18" customHeight="1">
      <c r="B58" s="21">
        <f>ROW()-5</f>
        <v>53</v>
      </c>
      <c r="C58" s="22">
        <f>EDATE(Hipoteca!$C$7,B58-1)</f>
        <v>47908.0</v>
      </c>
      <c r="D58" s="23">
        <f>IFERROR(LOOKUP(2,1/((Hipoteca!$E$4:$E$9&lt;&gt;"")*(Hipoteca!$E$4:$E$9&lt;=C58)),Hipoteca!$F$4:$F$9),Hipoteca!$C$6)</f>
        <v>0.029</v>
      </c>
      <c r="E58" s="24">
        <f>J57</f>
        <v>146374.18936907136</v>
      </c>
      <c r="F58" s="24">
        <f>IF(E58&lt;=0.005,0,MIN(E58*(1+D58/12),IF(OR(Hipoteca!$C$8="Reducir cuota",D58&lt;&gt;D57),PMT(D58/12,K58,-E58),F57)))</f>
        <v>746.6003367545769</v>
      </c>
      <c r="G58" s="24">
        <f>E58*D58/12</f>
        <v>353.73762430858915</v>
      </c>
      <c r="H58" s="24">
        <f>IF(E58&lt;=0.005,0,MIN(E58,F58-G58))</f>
        <v>392.86271244598777</v>
      </c>
      <c r="I58" s="24">
        <f>MIN(E58-H58,SUMPRODUCT((YEAR(Hipoteca!$H$4:$H$15)=YEAR(C58))*(MONTH(Hipoteca!$H$4:$H$15)=MONTH(C58))*(Hipoteca!$H$4:$H$15&lt;&gt;"")*Hipoteca!$I$4:$I$15))</f>
        <v>0</v>
      </c>
      <c r="J58" s="24">
        <f>MAX(0,E58-H58-I58)</f>
        <v>145981.32665662537</v>
      </c>
      <c r="K58" s="21">
        <f>IF(E58&lt;=0.005,0,IF(Hipoteca!$C$8="Reducir cuota",$K$6-(B58-1),IFERROR(MAX(1,ROUNDUP(NPER(D57/12,-F57,E58),0)),$K$6-(B58-1))))</f>
        <v>267</v>
      </c>
      <c r="L58" s="21">
        <f>YEAR(C58)</f>
        <v>2031</v>
      </c>
      <c r="N58" s="25">
        <f>R57</f>
        <v>162489.29238432468</v>
      </c>
      <c r="O58" s="25">
        <f>IF(N58&lt;=0.005,0,IF(D58&lt;&gt;D57,PMT(D58/12,Hipoteca!$C$5*12-(B58-1),-N58),O57))</f>
        <v>748.6477272887904</v>
      </c>
      <c r="P58" s="25">
        <f>N58*D58/12</f>
        <v>392.68245659545136</v>
      </c>
      <c r="Q58" s="25">
        <f>IF(N58&lt;=0.005,0,MIN(N58,O58-P58))</f>
        <v>355.96527069333905</v>
      </c>
      <c r="R58" s="25">
        <f>MAX(0,N58-Q58)</f>
        <v>162133.32711363136</v>
      </c>
    </row>
    <row r="59" spans="2:18" ht="18" customHeight="1">
      <c r="B59" s="21">
        <f>ROW()-5</f>
        <v>54</v>
      </c>
      <c r="C59" s="22">
        <f>EDATE(Hipoteca!$C$7,B59-1)</f>
        <v>47939.0</v>
      </c>
      <c r="D59" s="23">
        <f>IFERROR(LOOKUP(2,1/((Hipoteca!$E$4:$E$9&lt;&gt;"")*(Hipoteca!$E$4:$E$9&lt;=C59)),Hipoteca!$F$4:$F$9),Hipoteca!$C$6)</f>
        <v>0.029</v>
      </c>
      <c r="E59" s="24">
        <f>J58</f>
        <v>145981.32665662537</v>
      </c>
      <c r="F59" s="24">
        <f>IF(E59&lt;=0.005,0,MIN(E59*(1+D59/12),IF(OR(Hipoteca!$C$8="Reducir cuota",D59&lt;&gt;D58),PMT(D59/12,K59,-E59),F58)))</f>
        <v>746.6003367545769</v>
      </c>
      <c r="G59" s="24">
        <f>E59*D59/12</f>
        <v>352.78820608684464</v>
      </c>
      <c r="H59" s="24">
        <f>IF(E59&lt;=0.005,0,MIN(E59,F59-G59))</f>
        <v>393.8121306677323</v>
      </c>
      <c r="I59" s="24">
        <f>MIN(E59-H59,SUMPRODUCT((YEAR(Hipoteca!$H$4:$H$15)=YEAR(C59))*(MONTH(Hipoteca!$H$4:$H$15)=MONTH(C59))*(Hipoteca!$H$4:$H$15&lt;&gt;"")*Hipoteca!$I$4:$I$15))</f>
        <v>0</v>
      </c>
      <c r="J59" s="24">
        <f>MAX(0,E59-H59-I59)</f>
        <v>145587.51452595764</v>
      </c>
      <c r="K59" s="21">
        <f>IF(E59&lt;=0.005,0,IF(Hipoteca!$C$8="Reducir cuota",$K$6-(B59-1),IFERROR(MAX(1,ROUNDUP(NPER(D58/12,-F58,E59),0)),$K$6-(B59-1))))</f>
        <v>266</v>
      </c>
      <c r="L59" s="21">
        <f>YEAR(C59)</f>
        <v>2031</v>
      </c>
      <c r="N59" s="25">
        <f>R58</f>
        <v>162133.32711363136</v>
      </c>
      <c r="O59" s="25">
        <f>IF(N59&lt;=0.005,0,IF(D59&lt;&gt;D58,PMT(D59/12,Hipoteca!$C$5*12-(B59-1),-N59),O58))</f>
        <v>748.6477272887904</v>
      </c>
      <c r="P59" s="25">
        <f>N59*D59/12</f>
        <v>391.82220719127577</v>
      </c>
      <c r="Q59" s="25">
        <f>IF(N59&lt;=0.005,0,MIN(N59,O59-P59))</f>
        <v>356.82552009751464</v>
      </c>
      <c r="R59" s="25">
        <f>MAX(0,N59-Q59)</f>
        <v>161776.50159353385</v>
      </c>
    </row>
    <row r="60" spans="2:18" ht="18" customHeight="1">
      <c r="B60" s="21">
        <f>ROW()-5</f>
        <v>55</v>
      </c>
      <c r="C60" s="22">
        <f>EDATE(Hipoteca!$C$7,B60-1)</f>
        <v>47969.0</v>
      </c>
      <c r="D60" s="23">
        <f>IFERROR(LOOKUP(2,1/((Hipoteca!$E$4:$E$9&lt;&gt;"")*(Hipoteca!$E$4:$E$9&lt;=C60)),Hipoteca!$F$4:$F$9),Hipoteca!$C$6)</f>
        <v>0.029</v>
      </c>
      <c r="E60" s="24">
        <f>J59</f>
        <v>145587.51452595764</v>
      </c>
      <c r="F60" s="24">
        <f>IF(E60&lt;=0.005,0,MIN(E60*(1+D60/12),IF(OR(Hipoteca!$C$8="Reducir cuota",D60&lt;&gt;D59),PMT(D60/12,K60,-E60),F59)))</f>
        <v>746.6003367545769</v>
      </c>
      <c r="G60" s="24">
        <f>E60*D60/12</f>
        <v>351.83649343773095</v>
      </c>
      <c r="H60" s="24">
        <f>IF(E60&lt;=0.005,0,MIN(E60,F60-G60))</f>
        <v>394.76384331684596</v>
      </c>
      <c r="I60" s="24">
        <f>MIN(E60-H60,SUMPRODUCT((YEAR(Hipoteca!$H$4:$H$15)=YEAR(C60))*(MONTH(Hipoteca!$H$4:$H$15)=MONTH(C60))*(Hipoteca!$H$4:$H$15&lt;&gt;"")*Hipoteca!$I$4:$I$15))</f>
        <v>0</v>
      </c>
      <c r="J60" s="24">
        <f>MAX(0,E60-H60-I60)</f>
        <v>145192.7506826408</v>
      </c>
      <c r="K60" s="21">
        <f>IF(E60&lt;=0.005,0,IF(Hipoteca!$C$8="Reducir cuota",$K$6-(B60-1),IFERROR(MAX(1,ROUNDUP(NPER(D59/12,-F59,E60),0)),$K$6-(B60-1))))</f>
        <v>265</v>
      </c>
      <c r="L60" s="21">
        <f>YEAR(C60)</f>
        <v>2031</v>
      </c>
      <c r="N60" s="25">
        <f>R59</f>
        <v>161776.50159353385</v>
      </c>
      <c r="O60" s="25">
        <f>IF(N60&lt;=0.005,0,IF(D60&lt;&gt;D59,PMT(D60/12,Hipoteca!$C$5*12-(B60-1),-N60),O59))</f>
        <v>748.6477272887904</v>
      </c>
      <c r="P60" s="25">
        <f>N60*D60/12</f>
        <v>390.9598788510402</v>
      </c>
      <c r="Q60" s="25">
        <f>IF(N60&lt;=0.005,0,MIN(N60,O60-P60))</f>
        <v>357.68784843775023</v>
      </c>
      <c r="R60" s="25">
        <f>MAX(0,N60-Q60)</f>
        <v>161418.8137450961</v>
      </c>
    </row>
    <row r="61" spans="2:18" ht="18" customHeight="1">
      <c r="B61" s="21">
        <f>ROW()-5</f>
        <v>56</v>
      </c>
      <c r="C61" s="22">
        <f>EDATE(Hipoteca!$C$7,B61-1)</f>
        <v>48000.0</v>
      </c>
      <c r="D61" s="23">
        <f>IFERROR(LOOKUP(2,1/((Hipoteca!$E$4:$E$9&lt;&gt;"")*(Hipoteca!$E$4:$E$9&lt;=C61)),Hipoteca!$F$4:$F$9),Hipoteca!$C$6)</f>
        <v>0.029</v>
      </c>
      <c r="E61" s="24">
        <f>J60</f>
        <v>145192.7506826408</v>
      </c>
      <c r="F61" s="24">
        <f>IF(E61&lt;=0.005,0,MIN(E61*(1+D61/12),IF(OR(Hipoteca!$C$8="Reducir cuota",D61&lt;&gt;D60),PMT(D61/12,K61,-E61),F60)))</f>
        <v>746.6003367545769</v>
      </c>
      <c r="G61" s="24">
        <f>E61*D61/12</f>
        <v>350.88248081638193</v>
      </c>
      <c r="H61" s="24">
        <f>IF(E61&lt;=0.005,0,MIN(E61,F61-G61))</f>
        <v>395.717855938195</v>
      </c>
      <c r="I61" s="24">
        <f>MIN(E61-H61,SUMPRODUCT((YEAR(Hipoteca!$H$4:$H$15)=YEAR(C61))*(MONTH(Hipoteca!$H$4:$H$15)=MONTH(C61))*(Hipoteca!$H$4:$H$15&lt;&gt;"")*Hipoteca!$I$4:$I$15))</f>
        <v>0</v>
      </c>
      <c r="J61" s="24">
        <f>MAX(0,E61-H61-I61)</f>
        <v>144797.0328267026</v>
      </c>
      <c r="K61" s="21">
        <f>IF(E61&lt;=0.005,0,IF(Hipoteca!$C$8="Reducir cuota",$K$6-(B61-1),IFERROR(MAX(1,ROUNDUP(NPER(D60/12,-F60,E61),0)),$K$6-(B61-1))))</f>
        <v>264</v>
      </c>
      <c r="L61" s="21">
        <f>YEAR(C61)</f>
        <v>2031</v>
      </c>
      <c r="N61" s="25">
        <f>R60</f>
        <v>161418.8137450961</v>
      </c>
      <c r="O61" s="25">
        <f>IF(N61&lt;=0.005,0,IF(D61&lt;&gt;D60,PMT(D61/12,Hipoteca!$C$5*12-(B61-1),-N61),O60))</f>
        <v>748.6477272887904</v>
      </c>
      <c r="P61" s="25">
        <f>N61*D61/12</f>
        <v>390.09546655064895</v>
      </c>
      <c r="Q61" s="25">
        <f>IF(N61&lt;=0.005,0,MIN(N61,O61-P61))</f>
        <v>358.55226073814146</v>
      </c>
      <c r="R61" s="25">
        <f>MAX(0,N61-Q61)</f>
        <v>161060.26148435796</v>
      </c>
    </row>
    <row r="62" spans="2:18" ht="18" customHeight="1">
      <c r="B62" s="21">
        <f>ROW()-5</f>
        <v>57</v>
      </c>
      <c r="C62" s="22">
        <f>EDATE(Hipoteca!$C$7,B62-1)</f>
        <v>48030.0</v>
      </c>
      <c r="D62" s="23">
        <f>IFERROR(LOOKUP(2,1/((Hipoteca!$E$4:$E$9&lt;&gt;"")*(Hipoteca!$E$4:$E$9&lt;=C62)),Hipoteca!$F$4:$F$9),Hipoteca!$C$6)</f>
        <v>0.029</v>
      </c>
      <c r="E62" s="24">
        <f>J61</f>
        <v>144797.0328267026</v>
      </c>
      <c r="F62" s="24">
        <f>IF(E62&lt;=0.005,0,MIN(E62*(1+D62/12),IF(OR(Hipoteca!$C$8="Reducir cuota",D62&lt;&gt;D61),PMT(D62/12,K62,-E62),F61)))</f>
        <v>746.6003367545769</v>
      </c>
      <c r="G62" s="24">
        <f>E62*D62/12</f>
        <v>349.9261626645313</v>
      </c>
      <c r="H62" s="24">
        <f>IF(E62&lt;=0.005,0,MIN(E62,F62-G62))</f>
        <v>396.6741740900456</v>
      </c>
      <c r="I62" s="24">
        <f>MIN(E62-H62,SUMPRODUCT((YEAR(Hipoteca!$H$4:$H$15)=YEAR(C62))*(MONTH(Hipoteca!$H$4:$H$15)=MONTH(C62))*(Hipoteca!$H$4:$H$15&lt;&gt;"")*Hipoteca!$I$4:$I$15))</f>
        <v>0</v>
      </c>
      <c r="J62" s="24">
        <f>MAX(0,E62-H62-I62)</f>
        <v>144400.35865261257</v>
      </c>
      <c r="K62" s="21">
        <f>IF(E62&lt;=0.005,0,IF(Hipoteca!$C$8="Reducir cuota",$K$6-(B62-1),IFERROR(MAX(1,ROUNDUP(NPER(D61/12,-F61,E62),0)),$K$6-(B62-1))))</f>
        <v>263</v>
      </c>
      <c r="L62" s="21">
        <f>YEAR(C62)</f>
        <v>2031</v>
      </c>
      <c r="N62" s="25">
        <f>R61</f>
        <v>161060.26148435796</v>
      </c>
      <c r="O62" s="25">
        <f>IF(N62&lt;=0.005,0,IF(D62&lt;&gt;D61,PMT(D62/12,Hipoteca!$C$5*12-(B62-1),-N62),O61))</f>
        <v>748.6477272887904</v>
      </c>
      <c r="P62" s="25">
        <f>N62*D62/12</f>
        <v>389.22896525386506</v>
      </c>
      <c r="Q62" s="25">
        <f>IF(N62&lt;=0.005,0,MIN(N62,O62-P62))</f>
        <v>359.41876203492535</v>
      </c>
      <c r="R62" s="25">
        <f>MAX(0,N62-Q62)</f>
        <v>160700.84272232305</v>
      </c>
    </row>
    <row r="63" spans="2:18" ht="18" customHeight="1">
      <c r="B63" s="21">
        <f>ROW()-5</f>
        <v>58</v>
      </c>
      <c r="C63" s="22">
        <f>EDATE(Hipoteca!$C$7,B63-1)</f>
        <v>48061.0</v>
      </c>
      <c r="D63" s="23">
        <f>IFERROR(LOOKUP(2,1/((Hipoteca!$E$4:$E$9&lt;&gt;"")*(Hipoteca!$E$4:$E$9&lt;=C63)),Hipoteca!$F$4:$F$9),Hipoteca!$C$6)</f>
        <v>0.029</v>
      </c>
      <c r="E63" s="24">
        <f>J62</f>
        <v>144400.35865261257</v>
      </c>
      <c r="F63" s="24">
        <f>IF(E63&lt;=0.005,0,MIN(E63*(1+D63/12),IF(OR(Hipoteca!$C$8="Reducir cuota",D63&lt;&gt;D62),PMT(D63/12,K63,-E63),F62)))</f>
        <v>746.6003367545769</v>
      </c>
      <c r="G63" s="24">
        <f>E63*D63/12</f>
        <v>348.9675334104804</v>
      </c>
      <c r="H63" s="24">
        <f>IF(E63&lt;=0.005,0,MIN(E63,F63-G63))</f>
        <v>397.6328033440965</v>
      </c>
      <c r="I63" s="24">
        <f>MIN(E63-H63,SUMPRODUCT((YEAR(Hipoteca!$H$4:$H$15)=YEAR(C63))*(MONTH(Hipoteca!$H$4:$H$15)=MONTH(C63))*(Hipoteca!$H$4:$H$15&lt;&gt;"")*Hipoteca!$I$4:$I$15))</f>
        <v>0</v>
      </c>
      <c r="J63" s="24">
        <f>MAX(0,E63-H63-I63)</f>
        <v>144002.72584926846</v>
      </c>
      <c r="K63" s="21">
        <f>IF(E63&lt;=0.005,0,IF(Hipoteca!$C$8="Reducir cuota",$K$6-(B63-1),IFERROR(MAX(1,ROUNDUP(NPER(D62/12,-F62,E63),0)),$K$6-(B63-1))))</f>
        <v>262</v>
      </c>
      <c r="L63" s="21">
        <f>YEAR(C63)</f>
        <v>2031</v>
      </c>
      <c r="N63" s="25">
        <f>R62</f>
        <v>160700.84272232305</v>
      </c>
      <c r="O63" s="25">
        <f>IF(N63&lt;=0.005,0,IF(D63&lt;&gt;D62,PMT(D63/12,Hipoteca!$C$5*12-(B63-1),-N63),O62))</f>
        <v>748.6477272887904</v>
      </c>
      <c r="P63" s="25">
        <f>N63*D63/12</f>
        <v>388.3603699122807</v>
      </c>
      <c r="Q63" s="25">
        <f>IF(N63&lt;=0.005,0,MIN(N63,O63-P63))</f>
        <v>360.2873573765097</v>
      </c>
      <c r="R63" s="25">
        <f>MAX(0,N63-Q63)</f>
        <v>160340.55536494654</v>
      </c>
    </row>
    <row r="64" spans="2:18" ht="18" customHeight="1">
      <c r="B64" s="21">
        <f>ROW()-5</f>
        <v>59</v>
      </c>
      <c r="C64" s="22">
        <f>EDATE(Hipoteca!$C$7,B64-1)</f>
        <v>48092.0</v>
      </c>
      <c r="D64" s="23">
        <f>IFERROR(LOOKUP(2,1/((Hipoteca!$E$4:$E$9&lt;&gt;"")*(Hipoteca!$E$4:$E$9&lt;=C64)),Hipoteca!$F$4:$F$9),Hipoteca!$C$6)</f>
        <v>0.029</v>
      </c>
      <c r="E64" s="24">
        <f>J63</f>
        <v>144002.72584926846</v>
      </c>
      <c r="F64" s="24">
        <f>IF(E64&lt;=0.005,0,MIN(E64*(1+D64/12),IF(OR(Hipoteca!$C$8="Reducir cuota",D64&lt;&gt;D63),PMT(D64/12,K64,-E64),F63)))</f>
        <v>746.6003367545769</v>
      </c>
      <c r="G64" s="24">
        <f>E64*D64/12</f>
        <v>348.00658746906544</v>
      </c>
      <c r="H64" s="24">
        <f>IF(E64&lt;=0.005,0,MIN(E64,F64-G64))</f>
        <v>398.5937492855115</v>
      </c>
      <c r="I64" s="24">
        <f>MIN(E64-H64,SUMPRODUCT((YEAR(Hipoteca!$H$4:$H$15)=YEAR(C64))*(MONTH(Hipoteca!$H$4:$H$15)=MONTH(C64))*(Hipoteca!$H$4:$H$15&lt;&gt;"")*Hipoteca!$I$4:$I$15))</f>
        <v>0</v>
      </c>
      <c r="J64" s="24">
        <f>MAX(0,E64-H64-I64)</f>
        <v>143604.13209998296</v>
      </c>
      <c r="K64" s="21">
        <f>IF(E64&lt;=0.005,0,IF(Hipoteca!$C$8="Reducir cuota",$K$6-(B64-1),IFERROR(MAX(1,ROUNDUP(NPER(D63/12,-F63,E64),0)),$K$6-(B64-1))))</f>
        <v>261</v>
      </c>
      <c r="L64" s="21">
        <f>YEAR(C64)</f>
        <v>2031</v>
      </c>
      <c r="N64" s="25">
        <f>R63</f>
        <v>160340.55536494654</v>
      </c>
      <c r="O64" s="25">
        <f>IF(N64&lt;=0.005,0,IF(D64&lt;&gt;D63,PMT(D64/12,Hipoteca!$C$5*12-(B64-1),-N64),O63))</f>
        <v>748.6477272887904</v>
      </c>
      <c r="P64" s="25">
        <f>N64*D64/12</f>
        <v>387.4896754652875</v>
      </c>
      <c r="Q64" s="25">
        <f>IF(N64&lt;=0.005,0,MIN(N64,O64-P64))</f>
        <v>361.1580518235029</v>
      </c>
      <c r="R64" s="25">
        <f>MAX(0,N64-Q64)</f>
        <v>159979.39731312305</v>
      </c>
    </row>
    <row r="65" spans="2:18" ht="18" customHeight="1">
      <c r="B65" s="21">
        <f>ROW()-5</f>
        <v>60</v>
      </c>
      <c r="C65" s="22">
        <f>EDATE(Hipoteca!$C$7,B65-1)</f>
        <v>48122.0</v>
      </c>
      <c r="D65" s="23">
        <f>IFERROR(LOOKUP(2,1/((Hipoteca!$E$4:$E$9&lt;&gt;"")*(Hipoteca!$E$4:$E$9&lt;=C65)),Hipoteca!$F$4:$F$9),Hipoteca!$C$6)</f>
        <v>0.029</v>
      </c>
      <c r="E65" s="24">
        <f>J64</f>
        <v>143604.13209998296</v>
      </c>
      <c r="F65" s="24">
        <f>IF(E65&lt;=0.005,0,MIN(E65*(1+D65/12),IF(OR(Hipoteca!$C$8="Reducir cuota",D65&lt;&gt;D64),PMT(D65/12,K65,-E65),F64)))</f>
        <v>746.6003367545769</v>
      </c>
      <c r="G65" s="24">
        <f>E65*D65/12</f>
        <v>347.0433192416255</v>
      </c>
      <c r="H65" s="24">
        <f>IF(E65&lt;=0.005,0,MIN(E65,F65-G65))</f>
        <v>399.5570175129514</v>
      </c>
      <c r="I65" s="24">
        <f>MIN(E65-H65,SUMPRODUCT((YEAR(Hipoteca!$H$4:$H$15)=YEAR(C65))*(MONTH(Hipoteca!$H$4:$H$15)=MONTH(C65))*(Hipoteca!$H$4:$H$15&lt;&gt;"")*Hipoteca!$I$4:$I$15))</f>
        <v>0</v>
      </c>
      <c r="J65" s="24">
        <f>MAX(0,E65-H65-I65)</f>
        <v>143204.57508247002</v>
      </c>
      <c r="K65" s="21">
        <f>IF(E65&lt;=0.005,0,IF(Hipoteca!$C$8="Reducir cuota",$K$6-(B65-1),IFERROR(MAX(1,ROUNDUP(NPER(D64/12,-F64,E65),0)),$K$6-(B65-1))))</f>
        <v>260</v>
      </c>
      <c r="L65" s="21">
        <f>YEAR(C65)</f>
        <v>2031</v>
      </c>
      <c r="N65" s="25">
        <f>R64</f>
        <v>159979.39731312305</v>
      </c>
      <c r="O65" s="25">
        <f>IF(N65&lt;=0.005,0,IF(D65&lt;&gt;D64,PMT(D65/12,Hipoteca!$C$5*12-(B65-1),-N65),O64))</f>
        <v>748.6477272887904</v>
      </c>
      <c r="P65" s="25">
        <f>N65*D65/12</f>
        <v>386.6168768400474</v>
      </c>
      <c r="Q65" s="25">
        <f>IF(N65&lt;=0.005,0,MIN(N65,O65-P65))</f>
        <v>362.030850448743</v>
      </c>
      <c r="R65" s="25">
        <f>MAX(0,N65-Q65)</f>
        <v>159617.3664626743</v>
      </c>
    </row>
    <row r="66" spans="2:18" ht="18" customHeight="1">
      <c r="B66" s="21">
        <f>ROW()-5</f>
        <v>61</v>
      </c>
      <c r="C66" s="22">
        <f>EDATE(Hipoteca!$C$7,B66-1)</f>
        <v>48153.0</v>
      </c>
      <c r="D66" s="23">
        <f>IFERROR(LOOKUP(2,1/((Hipoteca!$E$4:$E$9&lt;&gt;"")*(Hipoteca!$E$4:$E$9&lt;=C66)),Hipoteca!$F$4:$F$9),Hipoteca!$C$6)</f>
        <v>0.029</v>
      </c>
      <c r="E66" s="24">
        <f>J65</f>
        <v>143204.57508247002</v>
      </c>
      <c r="F66" s="24">
        <f>IF(E66&lt;=0.005,0,MIN(E66*(1+D66/12),IF(OR(Hipoteca!$C$8="Reducir cuota",D66&lt;&gt;D65),PMT(D66/12,K66,-E66),F65)))</f>
        <v>746.6003367545769</v>
      </c>
      <c r="G66" s="24">
        <f>E66*D66/12</f>
        <v>346.07772311596926</v>
      </c>
      <c r="H66" s="24">
        <f>IF(E66&lt;=0.005,0,MIN(E66,F66-G66))</f>
        <v>400.52261363860765</v>
      </c>
      <c r="I66" s="24">
        <f>MIN(E66-H66,SUMPRODUCT((YEAR(Hipoteca!$H$4:$H$15)=YEAR(C66))*(MONTH(Hipoteca!$H$4:$H$15)=MONTH(C66))*(Hipoteca!$H$4:$H$15&lt;&gt;"")*Hipoteca!$I$4:$I$15))</f>
        <v>0</v>
      </c>
      <c r="J66" s="24">
        <f>MAX(0,E66-H66-I66)</f>
        <v>142804.05246883142</v>
      </c>
      <c r="K66" s="21">
        <f>IF(E66&lt;=0.005,0,IF(Hipoteca!$C$8="Reducir cuota",$K$6-(B66-1),IFERROR(MAX(1,ROUNDUP(NPER(D65/12,-F65,E66),0)),$K$6-(B66-1))))</f>
        <v>259</v>
      </c>
      <c r="L66" s="21">
        <f>YEAR(C66)</f>
        <v>2031</v>
      </c>
      <c r="N66" s="25">
        <f>R65</f>
        <v>159617.3664626743</v>
      </c>
      <c r="O66" s="25">
        <f>IF(N66&lt;=0.005,0,IF(D66&lt;&gt;D65,PMT(D66/12,Hipoteca!$C$5*12-(B66-1),-N66),O65))</f>
        <v>748.6477272887904</v>
      </c>
      <c r="P66" s="25">
        <f>N66*D66/12</f>
        <v>385.7419689514629</v>
      </c>
      <c r="Q66" s="25">
        <f>IF(N66&lt;=0.005,0,MIN(N66,O66-P66))</f>
        <v>362.9057583373275</v>
      </c>
      <c r="R66" s="25">
        <f>MAX(0,N66-Q66)</f>
        <v>159254.460704337</v>
      </c>
    </row>
    <row r="67" spans="2:18" ht="18" customHeight="1">
      <c r="B67" s="21">
        <f>ROW()-5</f>
        <v>62</v>
      </c>
      <c r="C67" s="22">
        <f>EDATE(Hipoteca!$C$7,B67-1)</f>
        <v>48183.0</v>
      </c>
      <c r="D67" s="23">
        <f>IFERROR(LOOKUP(2,1/((Hipoteca!$E$4:$E$9&lt;&gt;"")*(Hipoteca!$E$4:$E$9&lt;=C67)),Hipoteca!$F$4:$F$9),Hipoteca!$C$6)</f>
        <v>0.029</v>
      </c>
      <c r="E67" s="24">
        <f>J66</f>
        <v>142804.05246883142</v>
      </c>
      <c r="F67" s="24">
        <f>IF(E67&lt;=0.005,0,MIN(E67*(1+D67/12),IF(OR(Hipoteca!$C$8="Reducir cuota",D67&lt;&gt;D66),PMT(D67/12,K67,-E67),F66)))</f>
        <v>746.6003367545769</v>
      </c>
      <c r="G67" s="24">
        <f>E67*D67/12</f>
        <v>345.1097934663426</v>
      </c>
      <c r="H67" s="24">
        <f>IF(E67&lt;=0.005,0,MIN(E67,F67-G67))</f>
        <v>401.49054328823433</v>
      </c>
      <c r="I67" s="24">
        <f>MIN(E67-H67,SUMPRODUCT((YEAR(Hipoteca!$H$4:$H$15)=YEAR(C67))*(MONTH(Hipoteca!$H$4:$H$15)=MONTH(C67))*(Hipoteca!$H$4:$H$15&lt;&gt;"")*Hipoteca!$I$4:$I$15))</f>
        <v>0</v>
      </c>
      <c r="J67" s="24">
        <f>MAX(0,E67-H67-I67)</f>
        <v>142402.56192554318</v>
      </c>
      <c r="K67" s="21">
        <f>IF(E67&lt;=0.005,0,IF(Hipoteca!$C$8="Reducir cuota",$K$6-(B67-1),IFERROR(MAX(1,ROUNDUP(NPER(D66/12,-F66,E67),0)),$K$6-(B67-1))))</f>
        <v>258</v>
      </c>
      <c r="L67" s="21">
        <f>YEAR(C67)</f>
        <v>2031</v>
      </c>
      <c r="N67" s="25">
        <f>R66</f>
        <v>159254.460704337</v>
      </c>
      <c r="O67" s="25">
        <f>IF(N67&lt;=0.005,0,IF(D67&lt;&gt;D66,PMT(D67/12,Hipoteca!$C$5*12-(B67-1),-N67),O66))</f>
        <v>748.6477272887904</v>
      </c>
      <c r="P67" s="25">
        <f>N67*D67/12</f>
        <v>384.86494670214773</v>
      </c>
      <c r="Q67" s="25">
        <f>IF(N67&lt;=0.005,0,MIN(N67,O67-P67))</f>
        <v>363.7827805866427</v>
      </c>
      <c r="R67" s="25">
        <f>MAX(0,N67-Q67)</f>
        <v>158890.67792375034</v>
      </c>
    </row>
    <row r="68" spans="2:18" ht="18" customHeight="1">
      <c r="B68" s="21">
        <f>ROW()-5</f>
        <v>63</v>
      </c>
      <c r="C68" s="22">
        <f>EDATE(Hipoteca!$C$7,B68-1)</f>
        <v>48214.0</v>
      </c>
      <c r="D68" s="23">
        <f>IFERROR(LOOKUP(2,1/((Hipoteca!$E$4:$E$9&lt;&gt;"")*(Hipoteca!$E$4:$E$9&lt;=C68)),Hipoteca!$F$4:$F$9),Hipoteca!$C$6)</f>
        <v>0.029</v>
      </c>
      <c r="E68" s="24">
        <f>J67</f>
        <v>142402.56192554318</v>
      </c>
      <c r="F68" s="24">
        <f>IF(E68&lt;=0.005,0,MIN(E68*(1+D68/12),IF(OR(Hipoteca!$C$8="Reducir cuota",D68&lt;&gt;D67),PMT(D68/12,K68,-E68),F67)))</f>
        <v>746.6003367545769</v>
      </c>
      <c r="G68" s="24">
        <f>E68*D68/12</f>
        <v>344.139524653396</v>
      </c>
      <c r="H68" s="24">
        <f>IF(E68&lt;=0.005,0,MIN(E68,F68-G68))</f>
        <v>402.4608121011809</v>
      </c>
      <c r="I68" s="24">
        <f>MIN(E68-H68,SUMPRODUCT((YEAR(Hipoteca!$H$4:$H$15)=YEAR(C68))*(MONTH(Hipoteca!$H$4:$H$15)=MONTH(C68))*(Hipoteca!$H$4:$H$15&lt;&gt;"")*Hipoteca!$I$4:$I$15))</f>
        <v>0</v>
      </c>
      <c r="J68" s="24">
        <f>MAX(0,E68-H68-I68)</f>
        <v>142000.101113442</v>
      </c>
      <c r="K68" s="21">
        <f>IF(E68&lt;=0.005,0,IF(Hipoteca!$C$8="Reducir cuota",$K$6-(B68-1),IFERROR(MAX(1,ROUNDUP(NPER(D67/12,-F67,E68),0)),$K$6-(B68-1))))</f>
        <v>257</v>
      </c>
      <c r="L68" s="21">
        <f>YEAR(C68)</f>
        <v>2032</v>
      </c>
      <c r="N68" s="25">
        <f>R67</f>
        <v>158890.67792375034</v>
      </c>
      <c r="O68" s="25">
        <f>IF(N68&lt;=0.005,0,IF(D68&lt;&gt;D67,PMT(D68/12,Hipoteca!$C$5*12-(B68-1),-N68),O67))</f>
        <v>748.6477272887904</v>
      </c>
      <c r="P68" s="25">
        <f>N68*D68/12</f>
        <v>383.9858049823967</v>
      </c>
      <c r="Q68" s="25">
        <f>IF(N68&lt;=0.005,0,MIN(N68,O68-P68))</f>
        <v>364.6619223063937</v>
      </c>
      <c r="R68" s="25">
        <f>MAX(0,N68-Q68)</f>
        <v>158526.01600144393</v>
      </c>
    </row>
    <row r="69" spans="2:18" ht="18" customHeight="1">
      <c r="B69" s="21">
        <f>ROW()-5</f>
        <v>64</v>
      </c>
      <c r="C69" s="22">
        <f>EDATE(Hipoteca!$C$7,B69-1)</f>
        <v>48245.0</v>
      </c>
      <c r="D69" s="23">
        <f>IFERROR(LOOKUP(2,1/((Hipoteca!$E$4:$E$9&lt;&gt;"")*(Hipoteca!$E$4:$E$9&lt;=C69)),Hipoteca!$F$4:$F$9),Hipoteca!$C$6)</f>
        <v>0.029</v>
      </c>
      <c r="E69" s="24">
        <f>J68</f>
        <v>142000.101113442</v>
      </c>
      <c r="F69" s="24">
        <f>IF(E69&lt;=0.005,0,MIN(E69*(1+D69/12),IF(OR(Hipoteca!$C$8="Reducir cuota",D69&lt;&gt;D68),PMT(D69/12,K69,-E69),F68)))</f>
        <v>746.6003367545769</v>
      </c>
      <c r="G69" s="24">
        <f>E69*D69/12</f>
        <v>343.1669110241515</v>
      </c>
      <c r="H69" s="24">
        <f>IF(E69&lt;=0.005,0,MIN(E69,F69-G69))</f>
        <v>403.4334257304254</v>
      </c>
      <c r="I69" s="24">
        <f>MIN(E69-H69,SUMPRODUCT((YEAR(Hipoteca!$H$4:$H$15)=YEAR(C69))*(MONTH(Hipoteca!$H$4:$H$15)=MONTH(C69))*(Hipoteca!$H$4:$H$15&lt;&gt;"")*Hipoteca!$I$4:$I$15))</f>
        <v>0</v>
      </c>
      <c r="J69" s="24">
        <f>MAX(0,E69-H69-I69)</f>
        <v>141596.6676877116</v>
      </c>
      <c r="K69" s="21">
        <f>IF(E69&lt;=0.005,0,IF(Hipoteca!$C$8="Reducir cuota",$K$6-(B69-1),IFERROR(MAX(1,ROUNDUP(NPER(D68/12,-F68,E69),0)),$K$6-(B69-1))))</f>
        <v>256</v>
      </c>
      <c r="L69" s="21">
        <f>YEAR(C69)</f>
        <v>2032</v>
      </c>
      <c r="N69" s="25">
        <f>R68</f>
        <v>158526.01600144393</v>
      </c>
      <c r="O69" s="25">
        <f>IF(N69&lt;=0.005,0,IF(D69&lt;&gt;D68,PMT(D69/12,Hipoteca!$C$5*12-(B69-1),-N69),O68))</f>
        <v>748.6477272887904</v>
      </c>
      <c r="P69" s="25">
        <f>N69*D69/12</f>
        <v>383.1045386701562</v>
      </c>
      <c r="Q69" s="25">
        <f>IF(N69&lt;=0.005,0,MIN(N69,O69-P69))</f>
        <v>365.5431886186342</v>
      </c>
      <c r="R69" s="25">
        <f>MAX(0,N69-Q69)</f>
        <v>158160.4728128253</v>
      </c>
    </row>
    <row r="70" spans="2:18" ht="18" customHeight="1">
      <c r="B70" s="21">
        <f>ROW()-5</f>
        <v>65</v>
      </c>
      <c r="C70" s="22">
        <f>EDATE(Hipoteca!$C$7,B70-1)</f>
        <v>48274.0</v>
      </c>
      <c r="D70" s="23">
        <f>IFERROR(LOOKUP(2,1/((Hipoteca!$E$4:$E$9&lt;&gt;"")*(Hipoteca!$E$4:$E$9&lt;=C70)),Hipoteca!$F$4:$F$9),Hipoteca!$C$6)</f>
        <v>0.029</v>
      </c>
      <c r="E70" s="24">
        <f>J69</f>
        <v>141596.6676877116</v>
      </c>
      <c r="F70" s="24">
        <f>IF(E70&lt;=0.005,0,MIN(E70*(1+D70/12),IF(OR(Hipoteca!$C$8="Reducir cuota",D70&lt;&gt;D69),PMT(D70/12,K70,-E70),F69)))</f>
        <v>746.6003367545769</v>
      </c>
      <c r="G70" s="24">
        <f>E70*D70/12</f>
        <v>342.19194691196975</v>
      </c>
      <c r="H70" s="24">
        <f>IF(E70&lt;=0.005,0,MIN(E70,F70-G70))</f>
        <v>404.40838984260716</v>
      </c>
      <c r="I70" s="24">
        <f>MIN(E70-H70,SUMPRODUCT((YEAR(Hipoteca!$H$4:$H$15)=YEAR(C70))*(MONTH(Hipoteca!$H$4:$H$15)=MONTH(C70))*(Hipoteca!$H$4:$H$15&lt;&gt;"")*Hipoteca!$I$4:$I$15))</f>
        <v>0</v>
      </c>
      <c r="J70" s="24">
        <f>MAX(0,E70-H70-I70)</f>
        <v>141192.259297869</v>
      </c>
      <c r="K70" s="21">
        <f>IF(E70&lt;=0.005,0,IF(Hipoteca!$C$8="Reducir cuota",$K$6-(B70-1),IFERROR(MAX(1,ROUNDUP(NPER(D69/12,-F69,E70),0)),$K$6-(B70-1))))</f>
        <v>255</v>
      </c>
      <c r="L70" s="21">
        <f>YEAR(C70)</f>
        <v>2032</v>
      </c>
      <c r="N70" s="25">
        <f>R69</f>
        <v>158160.4728128253</v>
      </c>
      <c r="O70" s="25">
        <f>IF(N70&lt;=0.005,0,IF(D70&lt;&gt;D69,PMT(D70/12,Hipoteca!$C$5*12-(B70-1),-N70),O69))</f>
        <v>748.6477272887904</v>
      </c>
      <c r="P70" s="25">
        <f>N70*D70/12</f>
        <v>382.2211426309945</v>
      </c>
      <c r="Q70" s="25">
        <f>IF(N70&lt;=0.005,0,MIN(N70,O70-P70))</f>
        <v>366.4265846577959</v>
      </c>
      <c r="R70" s="25">
        <f>MAX(0,N70-Q70)</f>
        <v>157794.04622816748</v>
      </c>
    </row>
    <row r="71" spans="2:18" ht="18" customHeight="1">
      <c r="B71" s="21">
        <f>ROW()-5</f>
        <v>66</v>
      </c>
      <c r="C71" s="22">
        <f>EDATE(Hipoteca!$C$7,B71-1)</f>
        <v>48305.0</v>
      </c>
      <c r="D71" s="23">
        <f>IFERROR(LOOKUP(2,1/((Hipoteca!$E$4:$E$9&lt;&gt;"")*(Hipoteca!$E$4:$E$9&lt;=C71)),Hipoteca!$F$4:$F$9),Hipoteca!$C$6)</f>
        <v>0.029</v>
      </c>
      <c r="E71" s="24">
        <f>J70</f>
        <v>141192.259297869</v>
      </c>
      <c r="F71" s="24">
        <f>IF(E71&lt;=0.005,0,MIN(E71*(1+D71/12),IF(OR(Hipoteca!$C$8="Reducir cuota",D71&lt;&gt;D70),PMT(D71/12,K71,-E71),F70)))</f>
        <v>746.6003367545769</v>
      </c>
      <c r="G71" s="24">
        <f>E71*D71/12</f>
        <v>341.21462663651675</v>
      </c>
      <c r="H71" s="24">
        <f>IF(E71&lt;=0.005,0,MIN(E71,F71-G71))</f>
        <v>405.38571011806016</v>
      </c>
      <c r="I71" s="24">
        <f>MIN(E71-H71,SUMPRODUCT((YEAR(Hipoteca!$H$4:$H$15)=YEAR(C71))*(MONTH(Hipoteca!$H$4:$H$15)=MONTH(C71))*(Hipoteca!$H$4:$H$15&lt;&gt;"")*Hipoteca!$I$4:$I$15))</f>
        <v>0</v>
      </c>
      <c r="J71" s="24">
        <f>MAX(0,E71-H71-I71)</f>
        <v>140786.87358775095</v>
      </c>
      <c r="K71" s="21">
        <f>IF(E71&lt;=0.005,0,IF(Hipoteca!$C$8="Reducir cuota",$K$6-(B71-1),IFERROR(MAX(1,ROUNDUP(NPER(D70/12,-F70,E71),0)),$K$6-(B71-1))))</f>
        <v>254</v>
      </c>
      <c r="L71" s="21">
        <f>YEAR(C71)</f>
        <v>2032</v>
      </c>
      <c r="N71" s="25">
        <f>R70</f>
        <v>157794.04622816748</v>
      </c>
      <c r="O71" s="25">
        <f>IF(N71&lt;=0.005,0,IF(D71&lt;&gt;D70,PMT(D71/12,Hipoteca!$C$5*12-(B71-1),-N71),O70))</f>
        <v>748.6477272887904</v>
      </c>
      <c r="P71" s="25">
        <f>N71*D71/12</f>
        <v>381.33561171807145</v>
      </c>
      <c r="Q71" s="25">
        <f>IF(N71&lt;=0.005,0,MIN(N71,O71-P71))</f>
        <v>367.31211557071896</v>
      </c>
      <c r="R71" s="25">
        <f>MAX(0,N71-Q71)</f>
        <v>157426.73411259678</v>
      </c>
    </row>
    <row r="72" spans="2:18" ht="18" customHeight="1">
      <c r="B72" s="21">
        <f>ROW()-5</f>
        <v>67</v>
      </c>
      <c r="C72" s="22">
        <f>EDATE(Hipoteca!$C$7,B72-1)</f>
        <v>48335.0</v>
      </c>
      <c r="D72" s="23">
        <f>IFERROR(LOOKUP(2,1/((Hipoteca!$E$4:$E$9&lt;&gt;"")*(Hipoteca!$E$4:$E$9&lt;=C72)),Hipoteca!$F$4:$F$9),Hipoteca!$C$6)</f>
        <v>0.029</v>
      </c>
      <c r="E72" s="24">
        <f>J71</f>
        <v>140786.87358775095</v>
      </c>
      <c r="F72" s="24">
        <f>IF(E72&lt;=0.005,0,MIN(E72*(1+D72/12),IF(OR(Hipoteca!$C$8="Reducir cuota",D72&lt;&gt;D71),PMT(D72/12,K72,-E72),F71)))</f>
        <v>746.6003367545769</v>
      </c>
      <c r="G72" s="24">
        <f>E72*D72/12</f>
        <v>340.23494450373147</v>
      </c>
      <c r="H72" s="24">
        <f>IF(E72&lt;=0.005,0,MIN(E72,F72-G72))</f>
        <v>406.36539225084545</v>
      </c>
      <c r="I72" s="24">
        <f>MIN(E72-H72,SUMPRODUCT((YEAR(Hipoteca!$H$4:$H$15)=YEAR(C72))*(MONTH(Hipoteca!$H$4:$H$15)=MONTH(C72))*(Hipoteca!$H$4:$H$15&lt;&gt;"")*Hipoteca!$I$4:$I$15))</f>
        <v>0</v>
      </c>
      <c r="J72" s="24">
        <f>MAX(0,E72-H72-I72)</f>
        <v>140380.5081955001</v>
      </c>
      <c r="K72" s="21">
        <f>IF(E72&lt;=0.005,0,IF(Hipoteca!$C$8="Reducir cuota",$K$6-(B72-1),IFERROR(MAX(1,ROUNDUP(NPER(D71/12,-F71,E72),0)),$K$6-(B72-1))))</f>
        <v>253</v>
      </c>
      <c r="L72" s="21">
        <f>YEAR(C72)</f>
        <v>2032</v>
      </c>
      <c r="N72" s="25">
        <f>R71</f>
        <v>157426.73411259678</v>
      </c>
      <c r="O72" s="25">
        <f>IF(N72&lt;=0.005,0,IF(D72&lt;&gt;D71,PMT(D72/12,Hipoteca!$C$5*12-(B72-1),-N72),O71))</f>
        <v>748.6477272887904</v>
      </c>
      <c r="P72" s="25">
        <f>N72*D72/12</f>
        <v>380.4479407721089</v>
      </c>
      <c r="Q72" s="25">
        <f>IF(N72&lt;=0.005,0,MIN(N72,O72-P72))</f>
        <v>368.1997865166815</v>
      </c>
      <c r="R72" s="25">
        <f>MAX(0,N72-Q72)</f>
        <v>157058.5343260801</v>
      </c>
    </row>
    <row r="73" spans="2:18" ht="18" customHeight="1">
      <c r="B73" s="21">
        <f>ROW()-5</f>
        <v>68</v>
      </c>
      <c r="C73" s="22">
        <f>EDATE(Hipoteca!$C$7,B73-1)</f>
        <v>48366.0</v>
      </c>
      <c r="D73" s="23">
        <f>IFERROR(LOOKUP(2,1/((Hipoteca!$E$4:$E$9&lt;&gt;"")*(Hipoteca!$E$4:$E$9&lt;=C73)),Hipoteca!$F$4:$F$9),Hipoteca!$C$6)</f>
        <v>0.029</v>
      </c>
      <c r="E73" s="24">
        <f>J72</f>
        <v>140380.5081955001</v>
      </c>
      <c r="F73" s="24">
        <f>IF(E73&lt;=0.005,0,MIN(E73*(1+D73/12),IF(OR(Hipoteca!$C$8="Reducir cuota",D73&lt;&gt;D72),PMT(D73/12,K73,-E73),F72)))</f>
        <v>746.6003367545769</v>
      </c>
      <c r="G73" s="24">
        <f>E73*D73/12</f>
        <v>339.2528948057919</v>
      </c>
      <c r="H73" s="24">
        <f>IF(E73&lt;=0.005,0,MIN(E73,F73-G73))</f>
        <v>407.347441948785</v>
      </c>
      <c r="I73" s="24">
        <f>MIN(E73-H73,SUMPRODUCT((YEAR(Hipoteca!$H$4:$H$15)=YEAR(C73))*(MONTH(Hipoteca!$H$4:$H$15)=MONTH(C73))*(Hipoteca!$H$4:$H$15&lt;&gt;"")*Hipoteca!$I$4:$I$15))</f>
        <v>0</v>
      </c>
      <c r="J73" s="24">
        <f>MAX(0,E73-H73-I73)</f>
        <v>139973.16075355132</v>
      </c>
      <c r="K73" s="21">
        <f>IF(E73&lt;=0.005,0,IF(Hipoteca!$C$8="Reducir cuota",$K$6-(B73-1),IFERROR(MAX(1,ROUNDUP(NPER(D72/12,-F72,E73),0)),$K$6-(B73-1))))</f>
        <v>252</v>
      </c>
      <c r="L73" s="21">
        <f>YEAR(C73)</f>
        <v>2032</v>
      </c>
      <c r="N73" s="25">
        <f>R72</f>
        <v>157058.5343260801</v>
      </c>
      <c r="O73" s="25">
        <f>IF(N73&lt;=0.005,0,IF(D73&lt;&gt;D72,PMT(D73/12,Hipoteca!$C$5*12-(B73-1),-N73),O72))</f>
        <v>748.6477272887904</v>
      </c>
      <c r="P73" s="25">
        <f>N73*D73/12</f>
        <v>379.55812462136026</v>
      </c>
      <c r="Q73" s="25">
        <f>IF(N73&lt;=0.005,0,MIN(N73,O73-P73))</f>
        <v>369.08960266743014</v>
      </c>
      <c r="R73" s="25">
        <f>MAX(0,N73-Q73)</f>
        <v>156689.44472341266</v>
      </c>
    </row>
    <row r="74" spans="2:18" ht="18" customHeight="1">
      <c r="B74" s="21">
        <f>ROW()-5</f>
        <v>69</v>
      </c>
      <c r="C74" s="22">
        <f>EDATE(Hipoteca!$C$7,B74-1)</f>
        <v>48396.0</v>
      </c>
      <c r="D74" s="23">
        <f>IFERROR(LOOKUP(2,1/((Hipoteca!$E$4:$E$9&lt;&gt;"")*(Hipoteca!$E$4:$E$9&lt;=C74)),Hipoteca!$F$4:$F$9),Hipoteca!$C$6)</f>
        <v>0.029</v>
      </c>
      <c r="E74" s="24">
        <f>J73</f>
        <v>139973.16075355132</v>
      </c>
      <c r="F74" s="24">
        <f>IF(E74&lt;=0.005,0,MIN(E74*(1+D74/12),IF(OR(Hipoteca!$C$8="Reducir cuota",D74&lt;&gt;D73),PMT(D74/12,K74,-E74),F73)))</f>
        <v>746.6003367545769</v>
      </c>
      <c r="G74" s="24">
        <f>E74*D74/12</f>
        <v>338.26847182108236</v>
      </c>
      <c r="H74" s="24">
        <f>IF(E74&lt;=0.005,0,MIN(E74,F74-G74))</f>
        <v>408.33186493349456</v>
      </c>
      <c r="I74" s="24">
        <f>MIN(E74-H74,SUMPRODUCT((YEAR(Hipoteca!$H$4:$H$15)=YEAR(C74))*(MONTH(Hipoteca!$H$4:$H$15)=MONTH(C74))*(Hipoteca!$H$4:$H$15&lt;&gt;"")*Hipoteca!$I$4:$I$15))</f>
        <v>0</v>
      </c>
      <c r="J74" s="24">
        <f>MAX(0,E74-H74-I74)</f>
        <v>139564.82888861783</v>
      </c>
      <c r="K74" s="21">
        <f>IF(E74&lt;=0.005,0,IF(Hipoteca!$C$8="Reducir cuota",$K$6-(B74-1),IFERROR(MAX(1,ROUNDUP(NPER(D73/12,-F73,E74),0)),$K$6-(B74-1))))</f>
        <v>251</v>
      </c>
      <c r="L74" s="21">
        <f>YEAR(C74)</f>
        <v>2032</v>
      </c>
      <c r="N74" s="25">
        <f>R73</f>
        <v>156689.44472341266</v>
      </c>
      <c r="O74" s="25">
        <f>IF(N74&lt;=0.005,0,IF(D74&lt;&gt;D73,PMT(D74/12,Hipoteca!$C$5*12-(B74-1),-N74),O73))</f>
        <v>748.6477272887904</v>
      </c>
      <c r="P74" s="25">
        <f>N74*D74/12</f>
        <v>378.6661580815806</v>
      </c>
      <c r="Q74" s="25">
        <f>IF(N74&lt;=0.005,0,MIN(N74,O74-P74))</f>
        <v>369.9815692072098</v>
      </c>
      <c r="R74" s="25">
        <f>MAX(0,N74-Q74)</f>
        <v>156319.46315420544</v>
      </c>
    </row>
    <row r="75" spans="2:18" ht="18" customHeight="1">
      <c r="B75" s="21">
        <f>ROW()-5</f>
        <v>70</v>
      </c>
      <c r="C75" s="22">
        <f>EDATE(Hipoteca!$C$7,B75-1)</f>
        <v>48427.0</v>
      </c>
      <c r="D75" s="23">
        <f>IFERROR(LOOKUP(2,1/((Hipoteca!$E$4:$E$9&lt;&gt;"")*(Hipoteca!$E$4:$E$9&lt;=C75)),Hipoteca!$F$4:$F$9),Hipoteca!$C$6)</f>
        <v>0.029</v>
      </c>
      <c r="E75" s="24">
        <f>J74</f>
        <v>139564.82888861783</v>
      </c>
      <c r="F75" s="24">
        <f>IF(E75&lt;=0.005,0,MIN(E75*(1+D75/12),IF(OR(Hipoteca!$C$8="Reducir cuota",D75&lt;&gt;D74),PMT(D75/12,K75,-E75),F74)))</f>
        <v>746.6003367545769</v>
      </c>
      <c r="G75" s="24">
        <f>E75*D75/12</f>
        <v>337.2816698141598</v>
      </c>
      <c r="H75" s="24">
        <f>IF(E75&lt;=0.005,0,MIN(E75,F75-G75))</f>
        <v>409.31866694041713</v>
      </c>
      <c r="I75" s="24">
        <f>MIN(E75-H75,SUMPRODUCT((YEAR(Hipoteca!$H$4:$H$15)=YEAR(C75))*(MONTH(Hipoteca!$H$4:$H$15)=MONTH(C75))*(Hipoteca!$H$4:$H$15&lt;&gt;"")*Hipoteca!$I$4:$I$15))</f>
        <v>0</v>
      </c>
      <c r="J75" s="24">
        <f>MAX(0,E75-H75-I75)</f>
        <v>139155.51022167742</v>
      </c>
      <c r="K75" s="21">
        <f>IF(E75&lt;=0.005,0,IF(Hipoteca!$C$8="Reducir cuota",$K$6-(B75-1),IFERROR(MAX(1,ROUNDUP(NPER(D74/12,-F74,E75),0)),$K$6-(B75-1))))</f>
        <v>250</v>
      </c>
      <c r="L75" s="21">
        <f>YEAR(C75)</f>
        <v>2032</v>
      </c>
      <c r="N75" s="25">
        <f>R74</f>
        <v>156319.46315420544</v>
      </c>
      <c r="O75" s="25">
        <f>IF(N75&lt;=0.005,0,IF(D75&lt;&gt;D74,PMT(D75/12,Hipoteca!$C$5*12-(B75-1),-N75),O74))</f>
        <v>748.6477272887904</v>
      </c>
      <c r="P75" s="25">
        <f>N75*D75/12</f>
        <v>377.7720359559965</v>
      </c>
      <c r="Q75" s="25">
        <f>IF(N75&lt;=0.005,0,MIN(N75,O75-P75))</f>
        <v>370.8756913327939</v>
      </c>
      <c r="R75" s="25">
        <f>MAX(0,N75-Q75)</f>
        <v>155948.58746287265</v>
      </c>
    </row>
    <row r="76" spans="2:18" ht="18" customHeight="1">
      <c r="B76" s="21">
        <f>ROW()-5</f>
        <v>71</v>
      </c>
      <c r="C76" s="22">
        <f>EDATE(Hipoteca!$C$7,B76-1)</f>
        <v>48458.0</v>
      </c>
      <c r="D76" s="23">
        <f>IFERROR(LOOKUP(2,1/((Hipoteca!$E$4:$E$9&lt;&gt;"")*(Hipoteca!$E$4:$E$9&lt;=C76)),Hipoteca!$F$4:$F$9),Hipoteca!$C$6)</f>
        <v>0.029</v>
      </c>
      <c r="E76" s="24">
        <f>J75</f>
        <v>139155.51022167742</v>
      </c>
      <c r="F76" s="24">
        <f>IF(E76&lt;=0.005,0,MIN(E76*(1+D76/12),IF(OR(Hipoteca!$C$8="Reducir cuota",D76&lt;&gt;D75),PMT(D76/12,K76,-E76),F75)))</f>
        <v>746.6003367545769</v>
      </c>
      <c r="G76" s="24">
        <f>E76*D76/12</f>
        <v>336.29248303572047</v>
      </c>
      <c r="H76" s="24">
        <f>IF(E76&lt;=0.005,0,MIN(E76,F76-G76))</f>
        <v>410.30785371885645</v>
      </c>
      <c r="I76" s="24">
        <f>MIN(E76-H76,SUMPRODUCT((YEAR(Hipoteca!$H$4:$H$15)=YEAR(C76))*(MONTH(Hipoteca!$H$4:$H$15)=MONTH(C76))*(Hipoteca!$H$4:$H$15&lt;&gt;"")*Hipoteca!$I$4:$I$15))</f>
        <v>0</v>
      </c>
      <c r="J76" s="24">
        <f>MAX(0,E76-H76-I76)</f>
        <v>138745.20236795855</v>
      </c>
      <c r="K76" s="21">
        <f>IF(E76&lt;=0.005,0,IF(Hipoteca!$C$8="Reducir cuota",$K$6-(B76-1),IFERROR(MAX(1,ROUNDUP(NPER(D75/12,-F75,E76),0)),$K$6-(B76-1))))</f>
        <v>249</v>
      </c>
      <c r="L76" s="21">
        <f>YEAR(C76)</f>
        <v>2032</v>
      </c>
      <c r="N76" s="25">
        <f>R75</f>
        <v>155948.58746287265</v>
      </c>
      <c r="O76" s="25">
        <f>IF(N76&lt;=0.005,0,IF(D76&lt;&gt;D75,PMT(D76/12,Hipoteca!$C$5*12-(B76-1),-N76),O75))</f>
        <v>748.6477272887904</v>
      </c>
      <c r="P76" s="25">
        <f>N76*D76/12</f>
        <v>376.8757530352755</v>
      </c>
      <c r="Q76" s="25">
        <f>IF(N76&lt;=0.005,0,MIN(N76,O76-P76))</f>
        <v>371.7719742535149</v>
      </c>
      <c r="R76" s="25">
        <f>MAX(0,N76-Q76)</f>
        <v>155576.81548861912</v>
      </c>
    </row>
    <row r="77" spans="2:18" ht="18" customHeight="1">
      <c r="B77" s="21">
        <f>ROW()-5</f>
        <v>72</v>
      </c>
      <c r="C77" s="22">
        <f>EDATE(Hipoteca!$C$7,B77-1)</f>
        <v>48488.0</v>
      </c>
      <c r="D77" s="23">
        <f>IFERROR(LOOKUP(2,1/((Hipoteca!$E$4:$E$9&lt;&gt;"")*(Hipoteca!$E$4:$E$9&lt;=C77)),Hipoteca!$F$4:$F$9),Hipoteca!$C$6)</f>
        <v>0.029</v>
      </c>
      <c r="E77" s="24">
        <f>J76</f>
        <v>138745.20236795855</v>
      </c>
      <c r="F77" s="24">
        <f>IF(E77&lt;=0.005,0,MIN(E77*(1+D77/12),IF(OR(Hipoteca!$C$8="Reducir cuota",D77&lt;&gt;D76),PMT(D77/12,K77,-E77),F76)))</f>
        <v>746.6003367545769</v>
      </c>
      <c r="G77" s="24">
        <f>E77*D77/12</f>
        <v>335.30090572256654</v>
      </c>
      <c r="H77" s="24">
        <f>IF(E77&lt;=0.005,0,MIN(E77,F77-G77))</f>
        <v>411.2994310320104</v>
      </c>
      <c r="I77" s="24">
        <f>MIN(E77-H77,SUMPRODUCT((YEAR(Hipoteca!$H$4:$H$15)=YEAR(C77))*(MONTH(Hipoteca!$H$4:$H$15)=MONTH(C77))*(Hipoteca!$H$4:$H$15&lt;&gt;"")*Hipoteca!$I$4:$I$15))</f>
        <v>0</v>
      </c>
      <c r="J77" s="24">
        <f>MAX(0,E77-H77-I77)</f>
        <v>138333.90293692655</v>
      </c>
      <c r="K77" s="21">
        <f>IF(E77&lt;=0.005,0,IF(Hipoteca!$C$8="Reducir cuota",$K$6-(B77-1),IFERROR(MAX(1,ROUNDUP(NPER(D76/12,-F76,E77),0)),$K$6-(B77-1))))</f>
        <v>248</v>
      </c>
      <c r="L77" s="21">
        <f>YEAR(C77)</f>
        <v>2032</v>
      </c>
      <c r="N77" s="25">
        <f>R76</f>
        <v>155576.81548861912</v>
      </c>
      <c r="O77" s="25">
        <f>IF(N77&lt;=0.005,0,IF(D77&lt;&gt;D76,PMT(D77/12,Hipoteca!$C$5*12-(B77-1),-N77),O76))</f>
        <v>748.6477272887904</v>
      </c>
      <c r="P77" s="25">
        <f>N77*D77/12</f>
        <v>375.97730409749624</v>
      </c>
      <c r="Q77" s="25">
        <f>IF(N77&lt;=0.005,0,MIN(N77,O77-P77))</f>
        <v>372.67042319129416</v>
      </c>
      <c r="R77" s="25">
        <f>MAX(0,N77-Q77)</f>
        <v>155204.14506542782</v>
      </c>
    </row>
    <row r="78" spans="2:18" ht="18" customHeight="1">
      <c r="B78" s="21">
        <f>ROW()-5</f>
        <v>73</v>
      </c>
      <c r="C78" s="22">
        <f>EDATE(Hipoteca!$C$7,B78-1)</f>
        <v>48519.0</v>
      </c>
      <c r="D78" s="23">
        <f>IFERROR(LOOKUP(2,1/((Hipoteca!$E$4:$E$9&lt;&gt;"")*(Hipoteca!$E$4:$E$9&lt;=C78)),Hipoteca!$F$4:$F$9),Hipoteca!$C$6)</f>
        <v>0.029</v>
      </c>
      <c r="E78" s="24">
        <f>J77</f>
        <v>138333.90293692655</v>
      </c>
      <c r="F78" s="24">
        <f>IF(E78&lt;=0.005,0,MIN(E78*(1+D78/12),IF(OR(Hipoteca!$C$8="Reducir cuota",D78&lt;&gt;D77),PMT(D78/12,K78,-E78),F77)))</f>
        <v>746.6003367545769</v>
      </c>
      <c r="G78" s="24">
        <f>E78*D78/12</f>
        <v>334.30693209757254</v>
      </c>
      <c r="H78" s="24">
        <f>IF(E78&lt;=0.005,0,MIN(E78,F78-G78))</f>
        <v>412.2934046570044</v>
      </c>
      <c r="I78" s="24">
        <f>MIN(E78-H78,SUMPRODUCT((YEAR(Hipoteca!$H$4:$H$15)=YEAR(C78))*(MONTH(Hipoteca!$H$4:$H$15)=MONTH(C78))*(Hipoteca!$H$4:$H$15&lt;&gt;"")*Hipoteca!$I$4:$I$15))</f>
        <v>0</v>
      </c>
      <c r="J78" s="24">
        <f>MAX(0,E78-H78-I78)</f>
        <v>137921.60953226953</v>
      </c>
      <c r="K78" s="21">
        <f>IF(E78&lt;=0.005,0,IF(Hipoteca!$C$8="Reducir cuota",$K$6-(B78-1),IFERROR(MAX(1,ROUNDUP(NPER(D77/12,-F77,E78),0)),$K$6-(B78-1))))</f>
        <v>247</v>
      </c>
      <c r="L78" s="21">
        <f>YEAR(C78)</f>
        <v>2032</v>
      </c>
      <c r="N78" s="25">
        <f>R77</f>
        <v>155204.14506542782</v>
      </c>
      <c r="O78" s="25">
        <f>IF(N78&lt;=0.005,0,IF(D78&lt;&gt;D77,PMT(D78/12,Hipoteca!$C$5*12-(B78-1),-N78),O77))</f>
        <v>748.6477272887904</v>
      </c>
      <c r="P78" s="25">
        <f>N78*D78/12</f>
        <v>375.0766839081173</v>
      </c>
      <c r="Q78" s="25">
        <f>IF(N78&lt;=0.005,0,MIN(N78,O78-P78))</f>
        <v>373.57104338067313</v>
      </c>
      <c r="R78" s="25">
        <f>MAX(0,N78-Q78)</f>
        <v>154830.57402204713</v>
      </c>
    </row>
    <row r="79" spans="2:18" ht="18" customHeight="1">
      <c r="B79" s="21">
        <f>ROW()-5</f>
        <v>74</v>
      </c>
      <c r="C79" s="22">
        <f>EDATE(Hipoteca!$C$7,B79-1)</f>
        <v>48549.0</v>
      </c>
      <c r="D79" s="23">
        <f>IFERROR(LOOKUP(2,1/((Hipoteca!$E$4:$E$9&lt;&gt;"")*(Hipoteca!$E$4:$E$9&lt;=C79)),Hipoteca!$F$4:$F$9),Hipoteca!$C$6)</f>
        <v>0.029</v>
      </c>
      <c r="E79" s="24">
        <f>J78</f>
        <v>137921.60953226953</v>
      </c>
      <c r="F79" s="24">
        <f>IF(E79&lt;=0.005,0,MIN(E79*(1+D79/12),IF(OR(Hipoteca!$C$8="Reducir cuota",D79&lt;&gt;D78),PMT(D79/12,K79,-E79),F78)))</f>
        <v>746.6003367545769</v>
      </c>
      <c r="G79" s="24">
        <f>E79*D79/12</f>
        <v>333.31055636965135</v>
      </c>
      <c r="H79" s="24">
        <f>IF(E79&lt;=0.005,0,MIN(E79,F79-G79))</f>
        <v>413.28978038492556</v>
      </c>
      <c r="I79" s="24">
        <f>MIN(E79-H79,SUMPRODUCT((YEAR(Hipoteca!$H$4:$H$15)=YEAR(C79))*(MONTH(Hipoteca!$H$4:$H$15)=MONTH(C79))*(Hipoteca!$H$4:$H$15&lt;&gt;"")*Hipoteca!$I$4:$I$15))</f>
        <v>0</v>
      </c>
      <c r="J79" s="24">
        <f>MAX(0,E79-H79-I79)</f>
        <v>137508.3197518846</v>
      </c>
      <c r="K79" s="21">
        <f>IF(E79&lt;=0.005,0,IF(Hipoteca!$C$8="Reducir cuota",$K$6-(B79-1),IFERROR(MAX(1,ROUNDUP(NPER(D78/12,-F78,E79),0)),$K$6-(B79-1))))</f>
        <v>246</v>
      </c>
      <c r="L79" s="21">
        <f>YEAR(C79)</f>
        <v>2032</v>
      </c>
      <c r="N79" s="25">
        <f>R78</f>
        <v>154830.57402204713</v>
      </c>
      <c r="O79" s="25">
        <f>IF(N79&lt;=0.005,0,IF(D79&lt;&gt;D78,PMT(D79/12,Hipoteca!$C$5*12-(B79-1),-N79),O78))</f>
        <v>748.6477272887904</v>
      </c>
      <c r="P79" s="25">
        <f>N79*D79/12</f>
        <v>374.1738872199473</v>
      </c>
      <c r="Q79" s="25">
        <f>IF(N79&lt;=0.005,0,MIN(N79,O79-P79))</f>
        <v>374.4738400688431</v>
      </c>
      <c r="R79" s="25">
        <f>MAX(0,N79-Q79)</f>
        <v>154456.10018197828</v>
      </c>
    </row>
    <row r="80" spans="2:18" ht="18" customHeight="1">
      <c r="B80" s="21">
        <f>ROW()-5</f>
        <v>75</v>
      </c>
      <c r="C80" s="22">
        <f>EDATE(Hipoteca!$C$7,B80-1)</f>
        <v>48580.0</v>
      </c>
      <c r="D80" s="23">
        <f>IFERROR(LOOKUP(2,1/((Hipoteca!$E$4:$E$9&lt;&gt;"")*(Hipoteca!$E$4:$E$9&lt;=C80)),Hipoteca!$F$4:$F$9),Hipoteca!$C$6)</f>
        <v>0.029</v>
      </c>
      <c r="E80" s="24">
        <f>J79</f>
        <v>137508.3197518846</v>
      </c>
      <c r="F80" s="24">
        <f>IF(E80&lt;=0.005,0,MIN(E80*(1+D80/12),IF(OR(Hipoteca!$C$8="Reducir cuota",D80&lt;&gt;D79),PMT(D80/12,K80,-E80),F79)))</f>
        <v>746.6003367545769</v>
      </c>
      <c r="G80" s="24">
        <f>E80*D80/12</f>
        <v>332.31177273372117</v>
      </c>
      <c r="H80" s="24">
        <f>IF(E80&lt;=0.005,0,MIN(E80,F80-G80))</f>
        <v>414.28856402085574</v>
      </c>
      <c r="I80" s="24">
        <f>MIN(E80-H80,SUMPRODUCT((YEAR(Hipoteca!$H$4:$H$15)=YEAR(C80))*(MONTH(Hipoteca!$H$4:$H$15)=MONTH(C80))*(Hipoteca!$H$4:$H$15&lt;&gt;"")*Hipoteca!$I$4:$I$15))</f>
        <v>0</v>
      </c>
      <c r="J80" s="24">
        <f>MAX(0,E80-H80-I80)</f>
        <v>137094.03118786376</v>
      </c>
      <c r="K80" s="21">
        <f>IF(E80&lt;=0.005,0,IF(Hipoteca!$C$8="Reducir cuota",$K$6-(B80-1),IFERROR(MAX(1,ROUNDUP(NPER(D79/12,-F79,E80),0)),$K$6-(B80-1))))</f>
        <v>245</v>
      </c>
      <c r="L80" s="21">
        <f>YEAR(C80)</f>
        <v>2033</v>
      </c>
      <c r="N80" s="25">
        <f>R79</f>
        <v>154456.10018197828</v>
      </c>
      <c r="O80" s="25">
        <f>IF(N80&lt;=0.005,0,IF(D80&lt;&gt;D79,PMT(D80/12,Hipoteca!$C$5*12-(B80-1),-N80),O79))</f>
        <v>748.6477272887904</v>
      </c>
      <c r="P80" s="25">
        <f>N80*D80/12</f>
        <v>373.2689087731142</v>
      </c>
      <c r="Q80" s="25">
        <f>IF(N80&lt;=0.005,0,MIN(N80,O80-P80))</f>
        <v>375.3788185156762</v>
      </c>
      <c r="R80" s="25">
        <f>MAX(0,N80-Q80)</f>
        <v>154080.7213634626</v>
      </c>
    </row>
    <row r="81" spans="2:18" ht="18" customHeight="1">
      <c r="B81" s="21">
        <f>ROW()-5</f>
        <v>76</v>
      </c>
      <c r="C81" s="22">
        <f>EDATE(Hipoteca!$C$7,B81-1)</f>
        <v>48611.0</v>
      </c>
      <c r="D81" s="23">
        <f>IFERROR(LOOKUP(2,1/((Hipoteca!$E$4:$E$9&lt;&gt;"")*(Hipoteca!$E$4:$E$9&lt;=C81)),Hipoteca!$F$4:$F$9),Hipoteca!$C$6)</f>
        <v>0.029</v>
      </c>
      <c r="E81" s="24">
        <f>J80</f>
        <v>137094.03118786376</v>
      </c>
      <c r="F81" s="24">
        <f>IF(E81&lt;=0.005,0,MIN(E81*(1+D81/12),IF(OR(Hipoteca!$C$8="Reducir cuota",D81&lt;&gt;D80),PMT(D81/12,K81,-E81),F80)))</f>
        <v>746.6003367545769</v>
      </c>
      <c r="G81" s="24">
        <f>E81*D81/12</f>
        <v>331.31057537067073</v>
      </c>
      <c r="H81" s="24">
        <f>IF(E81&lt;=0.005,0,MIN(E81,F81-G81))</f>
        <v>415.2897613839062</v>
      </c>
      <c r="I81" s="24">
        <f>MIN(E81-H81,SUMPRODUCT((YEAR(Hipoteca!$H$4:$H$15)=YEAR(C81))*(MONTH(Hipoteca!$H$4:$H$15)=MONTH(C81))*(Hipoteca!$H$4:$H$15&lt;&gt;"")*Hipoteca!$I$4:$I$15))</f>
        <v>0</v>
      </c>
      <c r="J81" s="24">
        <f>MAX(0,E81-H81-I81)</f>
        <v>136678.74142647986</v>
      </c>
      <c r="K81" s="21">
        <f>IF(E81&lt;=0.005,0,IF(Hipoteca!$C$8="Reducir cuota",$K$6-(B81-1),IFERROR(MAX(1,ROUNDUP(NPER(D80/12,-F80,E81),0)),$K$6-(B81-1))))</f>
        <v>244</v>
      </c>
      <c r="L81" s="21">
        <f>YEAR(C81)</f>
        <v>2033</v>
      </c>
      <c r="N81" s="25">
        <f>R80</f>
        <v>154080.7213634626</v>
      </c>
      <c r="O81" s="25">
        <f>IF(N81&lt;=0.005,0,IF(D81&lt;&gt;D80,PMT(D81/12,Hipoteca!$C$5*12-(B81-1),-N81),O80))</f>
        <v>748.6477272887904</v>
      </c>
      <c r="P81" s="25">
        <f>N81*D81/12</f>
        <v>372.3617432950346</v>
      </c>
      <c r="Q81" s="25">
        <f>IF(N81&lt;=0.005,0,MIN(N81,O81-P81))</f>
        <v>376.2859839937558</v>
      </c>
      <c r="R81" s="25">
        <f>MAX(0,N81-Q81)</f>
        <v>153704.43537946884</v>
      </c>
    </row>
    <row r="82" spans="2:18" ht="18" customHeight="1">
      <c r="B82" s="21">
        <f>ROW()-5</f>
        <v>77</v>
      </c>
      <c r="C82" s="22">
        <f>EDATE(Hipoteca!$C$7,B82-1)</f>
        <v>48639.0</v>
      </c>
      <c r="D82" s="23">
        <f>IFERROR(LOOKUP(2,1/((Hipoteca!$E$4:$E$9&lt;&gt;"")*(Hipoteca!$E$4:$E$9&lt;=C82)),Hipoteca!$F$4:$F$9),Hipoteca!$C$6)</f>
        <v>0.029</v>
      </c>
      <c r="E82" s="24">
        <f>J81</f>
        <v>136678.74142647986</v>
      </c>
      <c r="F82" s="24">
        <f>IF(E82&lt;=0.005,0,MIN(E82*(1+D82/12),IF(OR(Hipoteca!$C$8="Reducir cuota",D82&lt;&gt;D81),PMT(D82/12,K82,-E82),F81)))</f>
        <v>746.6003367545769</v>
      </c>
      <c r="G82" s="24">
        <f>E82*D82/12</f>
        <v>330.30695844732634</v>
      </c>
      <c r="H82" s="24">
        <f>IF(E82&lt;=0.005,0,MIN(E82,F82-G82))</f>
        <v>416.2933783072506</v>
      </c>
      <c r="I82" s="24">
        <f>MIN(E82-H82,SUMPRODUCT((YEAR(Hipoteca!$H$4:$H$15)=YEAR(C82))*(MONTH(Hipoteca!$H$4:$H$15)=MONTH(C82))*(Hipoteca!$H$4:$H$15&lt;&gt;"")*Hipoteca!$I$4:$I$15))</f>
        <v>0</v>
      </c>
      <c r="J82" s="24">
        <f>MAX(0,E82-H82-I82)</f>
        <v>136262.4480481726</v>
      </c>
      <c r="K82" s="21">
        <f>IF(E82&lt;=0.005,0,IF(Hipoteca!$C$8="Reducir cuota",$K$6-(B82-1),IFERROR(MAX(1,ROUNDUP(NPER(D81/12,-F81,E82),0)),$K$6-(B82-1))))</f>
        <v>243</v>
      </c>
      <c r="L82" s="21">
        <f>YEAR(C82)</f>
        <v>2033</v>
      </c>
      <c r="N82" s="25">
        <f>R81</f>
        <v>153704.43537946884</v>
      </c>
      <c r="O82" s="25">
        <f>IF(N82&lt;=0.005,0,IF(D82&lt;&gt;D81,PMT(D82/12,Hipoteca!$C$5*12-(B82-1),-N82),O81))</f>
        <v>748.6477272887904</v>
      </c>
      <c r="P82" s="25">
        <f>N82*D82/12</f>
        <v>371.45238550038306</v>
      </c>
      <c r="Q82" s="25">
        <f>IF(N82&lt;=0.005,0,MIN(N82,O82-P82))</f>
        <v>377.19534178840735</v>
      </c>
      <c r="R82" s="25">
        <f>MAX(0,N82-Q82)</f>
        <v>153327.24003768043</v>
      </c>
    </row>
    <row r="83" spans="2:18" ht="18" customHeight="1">
      <c r="B83" s="21">
        <f>ROW()-5</f>
        <v>78</v>
      </c>
      <c r="C83" s="22">
        <f>EDATE(Hipoteca!$C$7,B83-1)</f>
        <v>48670.0</v>
      </c>
      <c r="D83" s="23">
        <f>IFERROR(LOOKUP(2,1/((Hipoteca!$E$4:$E$9&lt;&gt;"")*(Hipoteca!$E$4:$E$9&lt;=C83)),Hipoteca!$F$4:$F$9),Hipoteca!$C$6)</f>
        <v>0.029</v>
      </c>
      <c r="E83" s="24">
        <f>J82</f>
        <v>136262.4480481726</v>
      </c>
      <c r="F83" s="24">
        <f>IF(E83&lt;=0.005,0,MIN(E83*(1+D83/12),IF(OR(Hipoteca!$C$8="Reducir cuota",D83&lt;&gt;D82),PMT(D83/12,K83,-E83),F82)))</f>
        <v>746.6003367545769</v>
      </c>
      <c r="G83" s="24">
        <f>E83*D83/12</f>
        <v>329.3009161164171</v>
      </c>
      <c r="H83" s="24">
        <f>IF(E83&lt;=0.005,0,MIN(E83,F83-G83))</f>
        <v>417.2994206381598</v>
      </c>
      <c r="I83" s="24">
        <f>MIN(E83-H83,SUMPRODUCT((YEAR(Hipoteca!$H$4:$H$15)=YEAR(C83))*(MONTH(Hipoteca!$H$4:$H$15)=MONTH(C83))*(Hipoteca!$H$4:$H$15&lt;&gt;"")*Hipoteca!$I$4:$I$15))</f>
        <v>0</v>
      </c>
      <c r="J83" s="24">
        <f>MAX(0,E83-H83-I83)</f>
        <v>135845.14862753445</v>
      </c>
      <c r="K83" s="21">
        <f>IF(E83&lt;=0.005,0,IF(Hipoteca!$C$8="Reducir cuota",$K$6-(B83-1),IFERROR(MAX(1,ROUNDUP(NPER(D82/12,-F82,E83),0)),$K$6-(B83-1))))</f>
        <v>242</v>
      </c>
      <c r="L83" s="21">
        <f>YEAR(C83)</f>
        <v>2033</v>
      </c>
      <c r="N83" s="25">
        <f>R82</f>
        <v>153327.24003768043</v>
      </c>
      <c r="O83" s="25">
        <f>IF(N83&lt;=0.005,0,IF(D83&lt;&gt;D82,PMT(D83/12,Hipoteca!$C$5*12-(B83-1),-N83),O82))</f>
        <v>748.6477272887904</v>
      </c>
      <c r="P83" s="25">
        <f>N83*D83/12</f>
        <v>370.540830091061</v>
      </c>
      <c r="Q83" s="25">
        <f>IF(N83&lt;=0.005,0,MIN(N83,O83-P83))</f>
        <v>378.1068971977294</v>
      </c>
      <c r="R83" s="25">
        <f>MAX(0,N83-Q83)</f>
        <v>152949.1331404827</v>
      </c>
    </row>
    <row r="84" spans="2:18" ht="18" customHeight="1">
      <c r="B84" s="21">
        <f>ROW()-5</f>
        <v>79</v>
      </c>
      <c r="C84" s="22">
        <f>EDATE(Hipoteca!$C$7,B84-1)</f>
        <v>48700.0</v>
      </c>
      <c r="D84" s="23">
        <f>IFERROR(LOOKUP(2,1/((Hipoteca!$E$4:$E$9&lt;&gt;"")*(Hipoteca!$E$4:$E$9&lt;=C84)),Hipoteca!$F$4:$F$9),Hipoteca!$C$6)</f>
        <v>0.029</v>
      </c>
      <c r="E84" s="24">
        <f>J83</f>
        <v>135845.14862753445</v>
      </c>
      <c r="F84" s="24">
        <f>IF(E84&lt;=0.005,0,MIN(E84*(1+D84/12),IF(OR(Hipoteca!$C$8="Reducir cuota",D84&lt;&gt;D83),PMT(D84/12,K84,-E84),F83)))</f>
        <v>746.6003367545769</v>
      </c>
      <c r="G84" s="24">
        <f>E84*D84/12</f>
        <v>328.2924425165416</v>
      </c>
      <c r="H84" s="24">
        <f>IF(E84&lt;=0.005,0,MIN(E84,F84-G84))</f>
        <v>418.3078942380353</v>
      </c>
      <c r="I84" s="24">
        <f>MIN(E84-H84,SUMPRODUCT((YEAR(Hipoteca!$H$4:$H$15)=YEAR(C84))*(MONTH(Hipoteca!$H$4:$H$15)=MONTH(C84))*(Hipoteca!$H$4:$H$15&lt;&gt;"")*Hipoteca!$I$4:$I$15))</f>
        <v>0</v>
      </c>
      <c r="J84" s="24">
        <f>MAX(0,E84-H84-I84)</f>
        <v>135426.8407332964</v>
      </c>
      <c r="K84" s="21">
        <f>IF(E84&lt;=0.005,0,IF(Hipoteca!$C$8="Reducir cuota",$K$6-(B84-1),IFERROR(MAX(1,ROUNDUP(NPER(D83/12,-F83,E84),0)),$K$6-(B84-1))))</f>
        <v>241</v>
      </c>
      <c r="L84" s="21">
        <f>YEAR(C84)</f>
        <v>2033</v>
      </c>
      <c r="N84" s="25">
        <f>R83</f>
        <v>152949.1331404827</v>
      </c>
      <c r="O84" s="25">
        <f>IF(N84&lt;=0.005,0,IF(D84&lt;&gt;D83,PMT(D84/12,Hipoteca!$C$5*12-(B84-1),-N84),O83))</f>
        <v>748.6477272887904</v>
      </c>
      <c r="P84" s="25">
        <f>N84*D84/12</f>
        <v>369.6270717561666</v>
      </c>
      <c r="Q84" s="25">
        <f>IF(N84&lt;=0.005,0,MIN(N84,O84-P84))</f>
        <v>379.02065553262383</v>
      </c>
      <c r="R84" s="25">
        <f>MAX(0,N84-Q84)</f>
        <v>152570.11248495008</v>
      </c>
    </row>
    <row r="85" spans="2:18" ht="18" customHeight="1">
      <c r="B85" s="21">
        <f>ROW()-5</f>
        <v>80</v>
      </c>
      <c r="C85" s="22">
        <f>EDATE(Hipoteca!$C$7,B85-1)</f>
        <v>48731.0</v>
      </c>
      <c r="D85" s="23">
        <f>IFERROR(LOOKUP(2,1/((Hipoteca!$E$4:$E$9&lt;&gt;"")*(Hipoteca!$E$4:$E$9&lt;=C85)),Hipoteca!$F$4:$F$9),Hipoteca!$C$6)</f>
        <v>0.029</v>
      </c>
      <c r="E85" s="24">
        <f>J84</f>
        <v>135426.8407332964</v>
      </c>
      <c r="F85" s="24">
        <f>IF(E85&lt;=0.005,0,MIN(E85*(1+D85/12),IF(OR(Hipoteca!$C$8="Reducir cuota",D85&lt;&gt;D84),PMT(D85/12,K85,-E85),F84)))</f>
        <v>746.6003367545769</v>
      </c>
      <c r="G85" s="24">
        <f>E85*D85/12</f>
        <v>327.281531772133</v>
      </c>
      <c r="H85" s="24">
        <f>IF(E85&lt;=0.005,0,MIN(E85,F85-G85))</f>
        <v>419.3188049824439</v>
      </c>
      <c r="I85" s="24">
        <f>MIN(E85-H85,SUMPRODUCT((YEAR(Hipoteca!$H$4:$H$15)=YEAR(C85))*(MONTH(Hipoteca!$H$4:$H$15)=MONTH(C85))*(Hipoteca!$H$4:$H$15&lt;&gt;"")*Hipoteca!$I$4:$I$15))</f>
        <v>0</v>
      </c>
      <c r="J85" s="24">
        <f>MAX(0,E85-H85-I85)</f>
        <v>135007.52192831397</v>
      </c>
      <c r="K85" s="21">
        <f>IF(E85&lt;=0.005,0,IF(Hipoteca!$C$8="Reducir cuota",$K$6-(B85-1),IFERROR(MAX(1,ROUNDUP(NPER(D84/12,-F84,E85),0)),$K$6-(B85-1))))</f>
        <v>240</v>
      </c>
      <c r="L85" s="21">
        <f>YEAR(C85)</f>
        <v>2033</v>
      </c>
      <c r="N85" s="25">
        <f>R84</f>
        <v>152570.11248495008</v>
      </c>
      <c r="O85" s="25">
        <f>IF(N85&lt;=0.005,0,IF(D85&lt;&gt;D84,PMT(D85/12,Hipoteca!$C$5*12-(B85-1),-N85),O84))</f>
        <v>748.6477272887904</v>
      </c>
      <c r="P85" s="25">
        <f>N85*D85/12</f>
        <v>368.71110517196274</v>
      </c>
      <c r="Q85" s="25">
        <f>IF(N85&lt;=0.005,0,MIN(N85,O85-P85))</f>
        <v>379.93662211682766</v>
      </c>
      <c r="R85" s="25">
        <f>MAX(0,N85-Q85)</f>
        <v>152190.17586283325</v>
      </c>
    </row>
    <row r="86" spans="2:18" ht="18" customHeight="1">
      <c r="B86" s="21">
        <f>ROW()-5</f>
        <v>81</v>
      </c>
      <c r="C86" s="22">
        <f>EDATE(Hipoteca!$C$7,B86-1)</f>
        <v>48761.0</v>
      </c>
      <c r="D86" s="23">
        <f>IFERROR(LOOKUP(2,1/((Hipoteca!$E$4:$E$9&lt;&gt;"")*(Hipoteca!$E$4:$E$9&lt;=C86)),Hipoteca!$F$4:$F$9),Hipoteca!$C$6)</f>
        <v>0.029</v>
      </c>
      <c r="E86" s="24">
        <f>J85</f>
        <v>135007.52192831397</v>
      </c>
      <c r="F86" s="24">
        <f>IF(E86&lt;=0.005,0,MIN(E86*(1+D86/12),IF(OR(Hipoteca!$C$8="Reducir cuota",D86&lt;&gt;D85),PMT(D86/12,K86,-E86),F85)))</f>
        <v>746.6003367545769</v>
      </c>
      <c r="G86" s="24">
        <f>E86*D86/12</f>
        <v>326.26817799342547</v>
      </c>
      <c r="H86" s="24">
        <f>IF(E86&lt;=0.005,0,MIN(E86,F86-G86))</f>
        <v>420.33215876115145</v>
      </c>
      <c r="I86" s="24">
        <f>MIN(E86-H86,SUMPRODUCT((YEAR(Hipoteca!$H$4:$H$15)=YEAR(C86))*(MONTH(Hipoteca!$H$4:$H$15)=MONTH(C86))*(Hipoteca!$H$4:$H$15&lt;&gt;"")*Hipoteca!$I$4:$I$15))</f>
        <v>0</v>
      </c>
      <c r="J86" s="24">
        <f>MAX(0,E86-H86-I86)</f>
        <v>134587.18976955282</v>
      </c>
      <c r="K86" s="21">
        <f>IF(E86&lt;=0.005,0,IF(Hipoteca!$C$8="Reducir cuota",$K$6-(B86-1),IFERROR(MAX(1,ROUNDUP(NPER(D85/12,-F85,E86),0)),$K$6-(B86-1))))</f>
        <v>239</v>
      </c>
      <c r="L86" s="21">
        <f>YEAR(C86)</f>
        <v>2033</v>
      </c>
      <c r="N86" s="25">
        <f>R85</f>
        <v>152190.17586283325</v>
      </c>
      <c r="O86" s="25">
        <f>IF(N86&lt;=0.005,0,IF(D86&lt;&gt;D85,PMT(D86/12,Hipoteca!$C$5*12-(B86-1),-N86),O85))</f>
        <v>748.6477272887904</v>
      </c>
      <c r="P86" s="25">
        <f>N86*D86/12</f>
        <v>367.792925001847</v>
      </c>
      <c r="Q86" s="25">
        <f>IF(N86&lt;=0.005,0,MIN(N86,O86-P86))</f>
        <v>380.8548022869434</v>
      </c>
      <c r="R86" s="25">
        <f>MAX(0,N86-Q86)</f>
        <v>151809.3210605463</v>
      </c>
    </row>
    <row r="87" spans="2:18" ht="18" customHeight="1">
      <c r="B87" s="21">
        <f>ROW()-5</f>
        <v>82</v>
      </c>
      <c r="C87" s="22">
        <f>EDATE(Hipoteca!$C$7,B87-1)</f>
        <v>48792.0</v>
      </c>
      <c r="D87" s="23">
        <f>IFERROR(LOOKUP(2,1/((Hipoteca!$E$4:$E$9&lt;&gt;"")*(Hipoteca!$E$4:$E$9&lt;=C87)),Hipoteca!$F$4:$F$9),Hipoteca!$C$6)</f>
        <v>0.029</v>
      </c>
      <c r="E87" s="24">
        <f>J86</f>
        <v>134587.18976955282</v>
      </c>
      <c r="F87" s="24">
        <f>IF(E87&lt;=0.005,0,MIN(E87*(1+D87/12),IF(OR(Hipoteca!$C$8="Reducir cuota",D87&lt;&gt;D86),PMT(D87/12,K87,-E87),F86)))</f>
        <v>746.6003367545769</v>
      </c>
      <c r="G87" s="24">
        <f>E87*D87/12</f>
        <v>325.2523752764193</v>
      </c>
      <c r="H87" s="24">
        <f>IF(E87&lt;=0.005,0,MIN(E87,F87-G87))</f>
        <v>421.34796147815763</v>
      </c>
      <c r="I87" s="24">
        <f>MIN(E87-H87,SUMPRODUCT((YEAR(Hipoteca!$H$4:$H$15)=YEAR(C87))*(MONTH(Hipoteca!$H$4:$H$15)=MONTH(C87))*(Hipoteca!$H$4:$H$15&lt;&gt;"")*Hipoteca!$I$4:$I$15))</f>
        <v>0</v>
      </c>
      <c r="J87" s="24">
        <f>MAX(0,E87-H87-I87)</f>
        <v>134165.84180807465</v>
      </c>
      <c r="K87" s="21">
        <f>IF(E87&lt;=0.005,0,IF(Hipoteca!$C$8="Reducir cuota",$K$6-(B87-1),IFERROR(MAX(1,ROUNDUP(NPER(D86/12,-F86,E87),0)),$K$6-(B87-1))))</f>
        <v>238</v>
      </c>
      <c r="L87" s="21">
        <f>YEAR(C87)</f>
        <v>2033</v>
      </c>
      <c r="N87" s="25">
        <f>R86</f>
        <v>151809.3210605463</v>
      </c>
      <c r="O87" s="25">
        <f>IF(N87&lt;=0.005,0,IF(D87&lt;&gt;D86,PMT(D87/12,Hipoteca!$C$5*12-(B87-1),-N87),O86))</f>
        <v>748.6477272887904</v>
      </c>
      <c r="P87" s="25">
        <f>N87*D87/12</f>
        <v>366.8725258963202</v>
      </c>
      <c r="Q87" s="25">
        <f>IF(N87&lt;=0.005,0,MIN(N87,O87-P87))</f>
        <v>381.7752013924702</v>
      </c>
      <c r="R87" s="25">
        <f>MAX(0,N87-Q87)</f>
        <v>151427.54585915382</v>
      </c>
    </row>
    <row r="88" spans="2:18" ht="18" customHeight="1">
      <c r="B88" s="21">
        <f>ROW()-5</f>
        <v>83</v>
      </c>
      <c r="C88" s="22">
        <f>EDATE(Hipoteca!$C$7,B88-1)</f>
        <v>48823.0</v>
      </c>
      <c r="D88" s="23">
        <f>IFERROR(LOOKUP(2,1/((Hipoteca!$E$4:$E$9&lt;&gt;"")*(Hipoteca!$E$4:$E$9&lt;=C88)),Hipoteca!$F$4:$F$9),Hipoteca!$C$6)</f>
        <v>0.029</v>
      </c>
      <c r="E88" s="24">
        <f>J87</f>
        <v>134165.84180807465</v>
      </c>
      <c r="F88" s="24">
        <f>IF(E88&lt;=0.005,0,MIN(E88*(1+D88/12),IF(OR(Hipoteca!$C$8="Reducir cuota",D88&lt;&gt;D87),PMT(D88/12,K88,-E88),F87)))</f>
        <v>746.6003367545769</v>
      </c>
      <c r="G88" s="24">
        <f>E88*D88/12</f>
        <v>324.2341177028471</v>
      </c>
      <c r="H88" s="24">
        <f>IF(E88&lt;=0.005,0,MIN(E88,F88-G88))</f>
        <v>422.36621905172984</v>
      </c>
      <c r="I88" s="24">
        <f>MIN(E88-H88,SUMPRODUCT((YEAR(Hipoteca!$H$4:$H$15)=YEAR(C88))*(MONTH(Hipoteca!$H$4:$H$15)=MONTH(C88))*(Hipoteca!$H$4:$H$15&lt;&gt;"")*Hipoteca!$I$4:$I$15))</f>
        <v>0</v>
      </c>
      <c r="J88" s="24">
        <f>MAX(0,E88-H88-I88)</f>
        <v>133743.4755890229</v>
      </c>
      <c r="K88" s="21">
        <f>IF(E88&lt;=0.005,0,IF(Hipoteca!$C$8="Reducir cuota",$K$6-(B88-1),IFERROR(MAX(1,ROUNDUP(NPER(D87/12,-F87,E88),0)),$K$6-(B88-1))))</f>
        <v>237</v>
      </c>
      <c r="L88" s="21">
        <f>YEAR(C88)</f>
        <v>2033</v>
      </c>
      <c r="N88" s="25">
        <f>R87</f>
        <v>151427.54585915382</v>
      </c>
      <c r="O88" s="25">
        <f>IF(N88&lt;=0.005,0,IF(D88&lt;&gt;D87,PMT(D88/12,Hipoteca!$C$5*12-(B88-1),-N88),O87))</f>
        <v>748.6477272887904</v>
      </c>
      <c r="P88" s="25">
        <f>N88*D88/12</f>
        <v>365.94990249295506</v>
      </c>
      <c r="Q88" s="25">
        <f>IF(N88&lt;=0.005,0,MIN(N88,O88-P88))</f>
        <v>382.69782479583534</v>
      </c>
      <c r="R88" s="25">
        <f>MAX(0,N88-Q88)</f>
        <v>151044.84803435797</v>
      </c>
    </row>
    <row r="89" spans="2:18" ht="18" customHeight="1">
      <c r="B89" s="21">
        <f>ROW()-5</f>
        <v>84</v>
      </c>
      <c r="C89" s="22">
        <f>EDATE(Hipoteca!$C$7,B89-1)</f>
        <v>48853.0</v>
      </c>
      <c r="D89" s="23">
        <f>IFERROR(LOOKUP(2,1/((Hipoteca!$E$4:$E$9&lt;&gt;"")*(Hipoteca!$E$4:$E$9&lt;=C89)),Hipoteca!$F$4:$F$9),Hipoteca!$C$6)</f>
        <v>0.029</v>
      </c>
      <c r="E89" s="24">
        <f>J88</f>
        <v>133743.4755890229</v>
      </c>
      <c r="F89" s="24">
        <f>IF(E89&lt;=0.005,0,MIN(E89*(1+D89/12),IF(OR(Hipoteca!$C$8="Reducir cuota",D89&lt;&gt;D88),PMT(D89/12,K89,-E89),F88)))</f>
        <v>746.6003367545769</v>
      </c>
      <c r="G89" s="24">
        <f>E89*D89/12</f>
        <v>323.2133993401387</v>
      </c>
      <c r="H89" s="24">
        <f>IF(E89&lt;=0.005,0,MIN(E89,F89-G89))</f>
        <v>423.3869374144382</v>
      </c>
      <c r="I89" s="24">
        <f>MIN(E89-H89,SUMPRODUCT((YEAR(Hipoteca!$H$4:$H$15)=YEAR(C89))*(MONTH(Hipoteca!$H$4:$H$15)=MONTH(C89))*(Hipoteca!$H$4:$H$15&lt;&gt;"")*Hipoteca!$I$4:$I$15))</f>
        <v>0</v>
      </c>
      <c r="J89" s="24">
        <f>MAX(0,E89-H89-I89)</f>
        <v>133320.08865160847</v>
      </c>
      <c r="K89" s="21">
        <f>IF(E89&lt;=0.005,0,IF(Hipoteca!$C$8="Reducir cuota",$K$6-(B89-1),IFERROR(MAX(1,ROUNDUP(NPER(D88/12,-F88,E89),0)),$K$6-(B89-1))))</f>
        <v>236</v>
      </c>
      <c r="L89" s="21">
        <f>YEAR(C89)</f>
        <v>2033</v>
      </c>
      <c r="N89" s="25">
        <f>R88</f>
        <v>151044.84803435797</v>
      </c>
      <c r="O89" s="25">
        <f>IF(N89&lt;=0.005,0,IF(D89&lt;&gt;D88,PMT(D89/12,Hipoteca!$C$5*12-(B89-1),-N89),O88))</f>
        <v>748.6477272887904</v>
      </c>
      <c r="P89" s="25">
        <f>N89*D89/12</f>
        <v>365.0250494163651</v>
      </c>
      <c r="Q89" s="25">
        <f>IF(N89&lt;=0.005,0,MIN(N89,O89-P89))</f>
        <v>383.6226778724253</v>
      </c>
      <c r="R89" s="25">
        <f>MAX(0,N89-Q89)</f>
        <v>150661.22535648555</v>
      </c>
    </row>
    <row r="90" spans="2:18" ht="18" customHeight="1">
      <c r="B90" s="21">
        <f>ROW()-5</f>
        <v>85</v>
      </c>
      <c r="C90" s="22">
        <f>EDATE(Hipoteca!$C$7,B90-1)</f>
        <v>48884.0</v>
      </c>
      <c r="D90" s="23">
        <f>IFERROR(LOOKUP(2,1/((Hipoteca!$E$4:$E$9&lt;&gt;"")*(Hipoteca!$E$4:$E$9&lt;=C90)),Hipoteca!$F$4:$F$9),Hipoteca!$C$6)</f>
        <v>0.029</v>
      </c>
      <c r="E90" s="24">
        <f>J89</f>
        <v>133320.08865160847</v>
      </c>
      <c r="F90" s="24">
        <f>IF(E90&lt;=0.005,0,MIN(E90*(1+D90/12),IF(OR(Hipoteca!$C$8="Reducir cuota",D90&lt;&gt;D89),PMT(D90/12,K90,-E90),F89)))</f>
        <v>746.6003367545769</v>
      </c>
      <c r="G90" s="24">
        <f>E90*D90/12</f>
        <v>322.19021424138714</v>
      </c>
      <c r="H90" s="24">
        <f>IF(E90&lt;=0.005,0,MIN(E90,F90-G90))</f>
        <v>424.4101225131898</v>
      </c>
      <c r="I90" s="24">
        <f>MIN(E90-H90,SUMPRODUCT((YEAR(Hipoteca!$H$4:$H$15)=YEAR(C90))*(MONTH(Hipoteca!$H$4:$H$15)=MONTH(C90))*(Hipoteca!$H$4:$H$15&lt;&gt;"")*Hipoteca!$I$4:$I$15))</f>
        <v>0</v>
      </c>
      <c r="J90" s="24">
        <f>MAX(0,E90-H90-I90)</f>
        <v>132895.67852909528</v>
      </c>
      <c r="K90" s="21">
        <f>IF(E90&lt;=0.005,0,IF(Hipoteca!$C$8="Reducir cuota",$K$6-(B90-1),IFERROR(MAX(1,ROUNDUP(NPER(D89/12,-F89,E90),0)),$K$6-(B90-1))))</f>
        <v>235</v>
      </c>
      <c r="L90" s="21">
        <f>YEAR(C90)</f>
        <v>2033</v>
      </c>
      <c r="N90" s="25">
        <f>R89</f>
        <v>150661.22535648555</v>
      </c>
      <c r="O90" s="25">
        <f>IF(N90&lt;=0.005,0,IF(D90&lt;&gt;D89,PMT(D90/12,Hipoteca!$C$5*12-(B90-1),-N90),O89))</f>
        <v>748.6477272887904</v>
      </c>
      <c r="P90" s="25">
        <f>N90*D90/12</f>
        <v>364.09796127817344</v>
      </c>
      <c r="Q90" s="25">
        <f>IF(N90&lt;=0.005,0,MIN(N90,O90-P90))</f>
        <v>384.54976601061696</v>
      </c>
      <c r="R90" s="25">
        <f>MAX(0,N90-Q90)</f>
        <v>150276.67559047494</v>
      </c>
    </row>
    <row r="91" spans="2:18" ht="18" customHeight="1">
      <c r="B91" s="21">
        <f>ROW()-5</f>
        <v>86</v>
      </c>
      <c r="C91" s="22">
        <f>EDATE(Hipoteca!$C$7,B91-1)</f>
        <v>48914.0</v>
      </c>
      <c r="D91" s="23">
        <f>IFERROR(LOOKUP(2,1/((Hipoteca!$E$4:$E$9&lt;&gt;"")*(Hipoteca!$E$4:$E$9&lt;=C91)),Hipoteca!$F$4:$F$9),Hipoteca!$C$6)</f>
        <v>0.029</v>
      </c>
      <c r="E91" s="24">
        <f>J90</f>
        <v>132895.67852909528</v>
      </c>
      <c r="F91" s="24">
        <f>IF(E91&lt;=0.005,0,MIN(E91*(1+D91/12),IF(OR(Hipoteca!$C$8="Reducir cuota",D91&lt;&gt;D90),PMT(D91/12,K91,-E91),F90)))</f>
        <v>746.6003367545769</v>
      </c>
      <c r="G91" s="24">
        <f>E91*D91/12</f>
        <v>321.1645564453136</v>
      </c>
      <c r="H91" s="24">
        <f>IF(E91&lt;=0.005,0,MIN(E91,F91-G91))</f>
        <v>425.4357803092633</v>
      </c>
      <c r="I91" s="24">
        <f>MIN(E91-H91,SUMPRODUCT((YEAR(Hipoteca!$H$4:$H$15)=YEAR(C91))*(MONTH(Hipoteca!$H$4:$H$15)=MONTH(C91))*(Hipoteca!$H$4:$H$15&lt;&gt;"")*Hipoteca!$I$4:$I$15))</f>
        <v>0</v>
      </c>
      <c r="J91" s="24">
        <f>MAX(0,E91-H91-I91)</f>
        <v>132470.24274878603</v>
      </c>
      <c r="K91" s="21">
        <f>IF(E91&lt;=0.005,0,IF(Hipoteca!$C$8="Reducir cuota",$K$6-(B91-1),IFERROR(MAX(1,ROUNDUP(NPER(D90/12,-F90,E91),0)),$K$6-(B91-1))))</f>
        <v>234</v>
      </c>
      <c r="L91" s="21">
        <f>YEAR(C91)</f>
        <v>2033</v>
      </c>
      <c r="N91" s="25">
        <f>R90</f>
        <v>150276.67559047494</v>
      </c>
      <c r="O91" s="25">
        <f>IF(N91&lt;=0.005,0,IF(D91&lt;&gt;D90,PMT(D91/12,Hipoteca!$C$5*12-(B91-1),-N91),O90))</f>
        <v>748.6477272887904</v>
      </c>
      <c r="P91" s="25">
        <f>N91*D91/12</f>
        <v>363.16863267698113</v>
      </c>
      <c r="Q91" s="25">
        <f>IF(N91&lt;=0.005,0,MIN(N91,O91-P91))</f>
        <v>385.4790946118093</v>
      </c>
      <c r="R91" s="25">
        <f>MAX(0,N91-Q91)</f>
        <v>149891.19649586314</v>
      </c>
    </row>
    <row r="92" spans="2:18" ht="18" customHeight="1">
      <c r="B92" s="21">
        <f>ROW()-5</f>
        <v>87</v>
      </c>
      <c r="C92" s="22">
        <f>EDATE(Hipoteca!$C$7,B92-1)</f>
        <v>48945.0</v>
      </c>
      <c r="D92" s="23">
        <f>IFERROR(LOOKUP(2,1/((Hipoteca!$E$4:$E$9&lt;&gt;"")*(Hipoteca!$E$4:$E$9&lt;=C92)),Hipoteca!$F$4:$F$9),Hipoteca!$C$6)</f>
        <v>0.029</v>
      </c>
      <c r="E92" s="24">
        <f>J91</f>
        <v>132470.24274878603</v>
      </c>
      <c r="F92" s="24">
        <f>IF(E92&lt;=0.005,0,MIN(E92*(1+D92/12),IF(OR(Hipoteca!$C$8="Reducir cuota",D92&lt;&gt;D91),PMT(D92/12,K92,-E92),F91)))</f>
        <v>746.6003367545769</v>
      </c>
      <c r="G92" s="24">
        <f>E92*D92/12</f>
        <v>320.1364199762329</v>
      </c>
      <c r="H92" s="24">
        <f>IF(E92&lt;=0.005,0,MIN(E92,F92-G92))</f>
        <v>426.463916778344</v>
      </c>
      <c r="I92" s="24">
        <f>MIN(E92-H92,SUMPRODUCT((YEAR(Hipoteca!$H$4:$H$15)=YEAR(C92))*(MONTH(Hipoteca!$H$4:$H$15)=MONTH(C92))*(Hipoteca!$H$4:$H$15&lt;&gt;"")*Hipoteca!$I$4:$I$15))</f>
        <v>0</v>
      </c>
      <c r="J92" s="24">
        <f>MAX(0,E92-H92-I92)</f>
        <v>132043.7788320077</v>
      </c>
      <c r="K92" s="21">
        <f>IF(E92&lt;=0.005,0,IF(Hipoteca!$C$8="Reducir cuota",$K$6-(B92-1),IFERROR(MAX(1,ROUNDUP(NPER(D91/12,-F91,E92),0)),$K$6-(B92-1))))</f>
        <v>233</v>
      </c>
      <c r="L92" s="21">
        <f>YEAR(C92)</f>
        <v>2034</v>
      </c>
      <c r="N92" s="25">
        <f>R91</f>
        <v>149891.19649586314</v>
      </c>
      <c r="O92" s="25">
        <f>IF(N92&lt;=0.005,0,IF(D92&lt;&gt;D91,PMT(D92/12,Hipoteca!$C$5*12-(B92-1),-N92),O91))</f>
        <v>748.6477272887904</v>
      </c>
      <c r="P92" s="25">
        <f>N92*D92/12</f>
        <v>362.23705819833594</v>
      </c>
      <c r="Q92" s="25">
        <f>IF(N92&lt;=0.005,0,MIN(N92,O92-P92))</f>
        <v>386.41066909045446</v>
      </c>
      <c r="R92" s="25">
        <f>MAX(0,N92-Q92)</f>
        <v>149504.78582677268</v>
      </c>
    </row>
    <row r="93" spans="2:18" ht="18" customHeight="1">
      <c r="B93" s="21">
        <f>ROW()-5</f>
        <v>88</v>
      </c>
      <c r="C93" s="22">
        <f>EDATE(Hipoteca!$C$7,B93-1)</f>
        <v>48976.0</v>
      </c>
      <c r="D93" s="23">
        <f>IFERROR(LOOKUP(2,1/((Hipoteca!$E$4:$E$9&lt;&gt;"")*(Hipoteca!$E$4:$E$9&lt;=C93)),Hipoteca!$F$4:$F$9),Hipoteca!$C$6)</f>
        <v>0.029</v>
      </c>
      <c r="E93" s="24">
        <f>J92</f>
        <v>132043.7788320077</v>
      </c>
      <c r="F93" s="24">
        <f>IF(E93&lt;=0.005,0,MIN(E93*(1+D93/12),IF(OR(Hipoteca!$C$8="Reducir cuota",D93&lt;&gt;D92),PMT(D93/12,K93,-E93),F92)))</f>
        <v>746.6003367545769</v>
      </c>
      <c r="G93" s="24">
        <f>E93*D93/12</f>
        <v>319.1057988440186</v>
      </c>
      <c r="H93" s="24">
        <f>IF(E93&lt;=0.005,0,MIN(E93,F93-G93))</f>
        <v>427.49453791055834</v>
      </c>
      <c r="I93" s="24">
        <f>MIN(E93-H93,SUMPRODUCT((YEAR(Hipoteca!$H$4:$H$15)=YEAR(C93))*(MONTH(Hipoteca!$H$4:$H$15)=MONTH(C93))*(Hipoteca!$H$4:$H$15&lt;&gt;"")*Hipoteca!$I$4:$I$15))</f>
        <v>0</v>
      </c>
      <c r="J93" s="24">
        <f>MAX(0,E93-H93-I93)</f>
        <v>131616.28429409713</v>
      </c>
      <c r="K93" s="21">
        <f>IF(E93&lt;=0.005,0,IF(Hipoteca!$C$8="Reducir cuota",$K$6-(B93-1),IFERROR(MAX(1,ROUNDUP(NPER(D92/12,-F92,E93),0)),$K$6-(B93-1))))</f>
        <v>232</v>
      </c>
      <c r="L93" s="21">
        <f>YEAR(C93)</f>
        <v>2034</v>
      </c>
      <c r="N93" s="25">
        <f>R92</f>
        <v>149504.78582677268</v>
      </c>
      <c r="O93" s="25">
        <f>IF(N93&lt;=0.005,0,IF(D93&lt;&gt;D92,PMT(D93/12,Hipoteca!$C$5*12-(B93-1),-N93),O92))</f>
        <v>748.6477272887904</v>
      </c>
      <c r="P93" s="25">
        <f>N93*D93/12</f>
        <v>361.3032324147007</v>
      </c>
      <c r="Q93" s="25">
        <f>IF(N93&lt;=0.005,0,MIN(N93,O93-P93))</f>
        <v>387.3444948740897</v>
      </c>
      <c r="R93" s="25">
        <f>MAX(0,N93-Q93)</f>
        <v>149117.4413318986</v>
      </c>
    </row>
    <row r="94" spans="2:18" ht="18" customHeight="1">
      <c r="B94" s="21">
        <f>ROW()-5</f>
        <v>89</v>
      </c>
      <c r="C94" s="22">
        <f>EDATE(Hipoteca!$C$7,B94-1)</f>
        <v>49004.0</v>
      </c>
      <c r="D94" s="23">
        <f>IFERROR(LOOKUP(2,1/((Hipoteca!$E$4:$E$9&lt;&gt;"")*(Hipoteca!$E$4:$E$9&lt;=C94)),Hipoteca!$F$4:$F$9),Hipoteca!$C$6)</f>
        <v>0.029</v>
      </c>
      <c r="E94" s="24">
        <f>J93</f>
        <v>131616.28429409713</v>
      </c>
      <c r="F94" s="24">
        <f>IF(E94&lt;=0.005,0,MIN(E94*(1+D94/12),IF(OR(Hipoteca!$C$8="Reducir cuota",D94&lt;&gt;D93),PMT(D94/12,K94,-E94),F93)))</f>
        <v>746.6003367545769</v>
      </c>
      <c r="G94" s="24">
        <f>E94*D94/12</f>
        <v>318.0726870440681</v>
      </c>
      <c r="H94" s="24">
        <f>IF(E94&lt;=0.005,0,MIN(E94,F94-G94))</f>
        <v>428.5276497105088</v>
      </c>
      <c r="I94" s="24">
        <f>MIN(E94-H94,SUMPRODUCT((YEAR(Hipoteca!$H$4:$H$15)=YEAR(C94))*(MONTH(Hipoteca!$H$4:$H$15)=MONTH(C94))*(Hipoteca!$H$4:$H$15&lt;&gt;"")*Hipoteca!$I$4:$I$15))</f>
        <v>0</v>
      </c>
      <c r="J94" s="24">
        <f>MAX(0,E94-H94-I94)</f>
        <v>131187.75664438662</v>
      </c>
      <c r="K94" s="21">
        <f>IF(E94&lt;=0.005,0,IF(Hipoteca!$C$8="Reducir cuota",$K$6-(B94-1),IFERROR(MAX(1,ROUNDUP(NPER(D93/12,-F93,E94),0)),$K$6-(B94-1))))</f>
        <v>231</v>
      </c>
      <c r="L94" s="21">
        <f>YEAR(C94)</f>
        <v>2034</v>
      </c>
      <c r="N94" s="25">
        <f>R93</f>
        <v>149117.4413318986</v>
      </c>
      <c r="O94" s="25">
        <f>IF(N94&lt;=0.005,0,IF(D94&lt;&gt;D93,PMT(D94/12,Hipoteca!$C$5*12-(B94-1),-N94),O93))</f>
        <v>748.6477272887904</v>
      </c>
      <c r="P94" s="25">
        <f>N94*D94/12</f>
        <v>360.3671498854216</v>
      </c>
      <c r="Q94" s="25">
        <f>IF(N94&lt;=0.005,0,MIN(N94,O94-P94))</f>
        <v>388.2805774033688</v>
      </c>
      <c r="R94" s="25">
        <f>MAX(0,N94-Q94)</f>
        <v>148729.1607544952</v>
      </c>
    </row>
    <row r="95" spans="2:18" ht="18" customHeight="1">
      <c r="B95" s="21">
        <f>ROW()-5</f>
        <v>90</v>
      </c>
      <c r="C95" s="22">
        <f>EDATE(Hipoteca!$C$7,B95-1)</f>
        <v>49035.0</v>
      </c>
      <c r="D95" s="23">
        <f>IFERROR(LOOKUP(2,1/((Hipoteca!$E$4:$E$9&lt;&gt;"")*(Hipoteca!$E$4:$E$9&lt;=C95)),Hipoteca!$F$4:$F$9),Hipoteca!$C$6)</f>
        <v>0.029</v>
      </c>
      <c r="E95" s="24">
        <f>J94</f>
        <v>131187.75664438662</v>
      </c>
      <c r="F95" s="24">
        <f>IF(E95&lt;=0.005,0,MIN(E95*(1+D95/12),IF(OR(Hipoteca!$C$8="Reducir cuota",D95&lt;&gt;D94),PMT(D95/12,K95,-E95),F94)))</f>
        <v>746.6003367545769</v>
      </c>
      <c r="G95" s="24">
        <f>E95*D95/12</f>
        <v>317.0370785572677</v>
      </c>
      <c r="H95" s="24">
        <f>IF(E95&lt;=0.005,0,MIN(E95,F95-G95))</f>
        <v>429.5632581973092</v>
      </c>
      <c r="I95" s="24">
        <f>MIN(E95-H95,SUMPRODUCT((YEAR(Hipoteca!$H$4:$H$15)=YEAR(C95))*(MONTH(Hipoteca!$H$4:$H$15)=MONTH(C95))*(Hipoteca!$H$4:$H$15&lt;&gt;"")*Hipoteca!$I$4:$I$15))</f>
        <v>0</v>
      </c>
      <c r="J95" s="24">
        <f>MAX(0,E95-H95-I95)</f>
        <v>130758.19338618932</v>
      </c>
      <c r="K95" s="21">
        <f>IF(E95&lt;=0.005,0,IF(Hipoteca!$C$8="Reducir cuota",$K$6-(B95-1),IFERROR(MAX(1,ROUNDUP(NPER(D94/12,-F94,E95),0)),$K$6-(B95-1))))</f>
        <v>230</v>
      </c>
      <c r="L95" s="21">
        <f>YEAR(C95)</f>
        <v>2034</v>
      </c>
      <c r="N95" s="25">
        <f>R94</f>
        <v>148729.1607544952</v>
      </c>
      <c r="O95" s="25">
        <f>IF(N95&lt;=0.005,0,IF(D95&lt;&gt;D94,PMT(D95/12,Hipoteca!$C$5*12-(B95-1),-N95),O94))</f>
        <v>748.6477272887904</v>
      </c>
      <c r="P95" s="25">
        <f>N95*D95/12</f>
        <v>359.4288051566968</v>
      </c>
      <c r="Q95" s="25">
        <f>IF(N95&lt;=0.005,0,MIN(N95,O95-P95))</f>
        <v>389.2189221320936</v>
      </c>
      <c r="R95" s="25">
        <f>MAX(0,N95-Q95)</f>
        <v>148339.9418323631</v>
      </c>
    </row>
    <row r="96" spans="2:18" ht="18" customHeight="1">
      <c r="B96" s="21">
        <f>ROW()-5</f>
        <v>91</v>
      </c>
      <c r="C96" s="22">
        <f>EDATE(Hipoteca!$C$7,B96-1)</f>
        <v>49065.0</v>
      </c>
      <c r="D96" s="23">
        <f>IFERROR(LOOKUP(2,1/((Hipoteca!$E$4:$E$9&lt;&gt;"")*(Hipoteca!$E$4:$E$9&lt;=C96)),Hipoteca!$F$4:$F$9),Hipoteca!$C$6)</f>
        <v>0.029</v>
      </c>
      <c r="E96" s="24">
        <f>J95</f>
        <v>130758.19338618932</v>
      </c>
      <c r="F96" s="24">
        <f>IF(E96&lt;=0.005,0,MIN(E96*(1+D96/12),IF(OR(Hipoteca!$C$8="Reducir cuota",D96&lt;&gt;D95),PMT(D96/12,K96,-E96),F95)))</f>
        <v>746.6003367545769</v>
      </c>
      <c r="G96" s="24">
        <f>E96*D96/12</f>
        <v>315.9989673499575</v>
      </c>
      <c r="H96" s="24">
        <f>IF(E96&lt;=0.005,0,MIN(E96,F96-G96))</f>
        <v>430.6013694046194</v>
      </c>
      <c r="I96" s="24">
        <f>MIN(E96-H96,SUMPRODUCT((YEAR(Hipoteca!$H$4:$H$15)=YEAR(C96))*(MONTH(Hipoteca!$H$4:$H$15)=MONTH(C96))*(Hipoteca!$H$4:$H$15&lt;&gt;"")*Hipoteca!$I$4:$I$15))</f>
        <v>0</v>
      </c>
      <c r="J96" s="24">
        <f>MAX(0,E96-H96-I96)</f>
        <v>130327.5920167847</v>
      </c>
      <c r="K96" s="21">
        <f>IF(E96&lt;=0.005,0,IF(Hipoteca!$C$8="Reducir cuota",$K$6-(B96-1),IFERROR(MAX(1,ROUNDUP(NPER(D95/12,-F95,E96),0)),$K$6-(B96-1))))</f>
        <v>229</v>
      </c>
      <c r="L96" s="21">
        <f>YEAR(C96)</f>
        <v>2034</v>
      </c>
      <c r="N96" s="25">
        <f>R95</f>
        <v>148339.9418323631</v>
      </c>
      <c r="O96" s="25">
        <f>IF(N96&lt;=0.005,0,IF(D96&lt;&gt;D95,PMT(D96/12,Hipoteca!$C$5*12-(B96-1),-N96),O95))</f>
        <v>748.6477272887904</v>
      </c>
      <c r="P96" s="25">
        <f>N96*D96/12</f>
        <v>358.4881927615442</v>
      </c>
      <c r="Q96" s="25">
        <f>IF(N96&lt;=0.005,0,MIN(N96,O96-P96))</f>
        <v>390.1595345272462</v>
      </c>
      <c r="R96" s="25">
        <f>MAX(0,N96-Q96)</f>
        <v>147949.78229783586</v>
      </c>
    </row>
    <row r="97" spans="2:18" ht="18" customHeight="1">
      <c r="B97" s="21">
        <f>ROW()-5</f>
        <v>92</v>
      </c>
      <c r="C97" s="22">
        <f>EDATE(Hipoteca!$C$7,B97-1)</f>
        <v>49096.0</v>
      </c>
      <c r="D97" s="23">
        <f>IFERROR(LOOKUP(2,1/((Hipoteca!$E$4:$E$9&lt;&gt;"")*(Hipoteca!$E$4:$E$9&lt;=C97)),Hipoteca!$F$4:$F$9),Hipoteca!$C$6)</f>
        <v>0.029</v>
      </c>
      <c r="E97" s="24">
        <f>J96</f>
        <v>130327.5920167847</v>
      </c>
      <c r="F97" s="24">
        <f>IF(E97&lt;=0.005,0,MIN(E97*(1+D97/12),IF(OR(Hipoteca!$C$8="Reducir cuota",D97&lt;&gt;D96),PMT(D97/12,K97,-E97),F96)))</f>
        <v>746.6003367545769</v>
      </c>
      <c r="G97" s="24">
        <f>E97*D97/12</f>
        <v>314.9583473738964</v>
      </c>
      <c r="H97" s="24">
        <f>IF(E97&lt;=0.005,0,MIN(E97,F97-G97))</f>
        <v>431.6419893806805</v>
      </c>
      <c r="I97" s="24">
        <f>MIN(E97-H97,SUMPRODUCT((YEAR(Hipoteca!$H$4:$H$15)=YEAR(C97))*(MONTH(Hipoteca!$H$4:$H$15)=MONTH(C97))*(Hipoteca!$H$4:$H$15&lt;&gt;"")*Hipoteca!$I$4:$I$15))</f>
        <v>0</v>
      </c>
      <c r="J97" s="24">
        <f>MAX(0,E97-H97-I97)</f>
        <v>129895.95002740403</v>
      </c>
      <c r="K97" s="21">
        <f>IF(E97&lt;=0.005,0,IF(Hipoteca!$C$8="Reducir cuota",$K$6-(B97-1),IFERROR(MAX(1,ROUNDUP(NPER(D96/12,-F96,E97),0)),$K$6-(B97-1))))</f>
        <v>228</v>
      </c>
      <c r="L97" s="21">
        <f>YEAR(C97)</f>
        <v>2034</v>
      </c>
      <c r="N97" s="25">
        <f>R96</f>
        <v>147949.78229783586</v>
      </c>
      <c r="O97" s="25">
        <f>IF(N97&lt;=0.005,0,IF(D97&lt;&gt;D96,PMT(D97/12,Hipoteca!$C$5*12-(B97-1),-N97),O96))</f>
        <v>748.6477272887904</v>
      </c>
      <c r="P97" s="25">
        <f>N97*D97/12</f>
        <v>357.54530721977</v>
      </c>
      <c r="Q97" s="25">
        <f>IF(N97&lt;=0.005,0,MIN(N97,O97-P97))</f>
        <v>391.1024200690204</v>
      </c>
      <c r="R97" s="25">
        <f>MAX(0,N97-Q97)</f>
        <v>147558.67987776684</v>
      </c>
    </row>
    <row r="98" spans="2:18" ht="18" customHeight="1">
      <c r="B98" s="21">
        <f>ROW()-5</f>
        <v>93</v>
      </c>
      <c r="C98" s="22">
        <f>EDATE(Hipoteca!$C$7,B98-1)</f>
        <v>49126.0</v>
      </c>
      <c r="D98" s="23">
        <f>IFERROR(LOOKUP(2,1/((Hipoteca!$E$4:$E$9&lt;&gt;"")*(Hipoteca!$E$4:$E$9&lt;=C98)),Hipoteca!$F$4:$F$9),Hipoteca!$C$6)</f>
        <v>0.029</v>
      </c>
      <c r="E98" s="24">
        <f>J97</f>
        <v>129895.95002740403</v>
      </c>
      <c r="F98" s="24">
        <f>IF(E98&lt;=0.005,0,MIN(E98*(1+D98/12),IF(OR(Hipoteca!$C$8="Reducir cuota",D98&lt;&gt;D97),PMT(D98/12,K98,-E98),F97)))</f>
        <v>746.6003367545769</v>
      </c>
      <c r="G98" s="24">
        <f>E98*D98/12</f>
        <v>313.91521256622644</v>
      </c>
      <c r="H98" s="24">
        <f>IF(E98&lt;=0.005,0,MIN(E98,F98-G98))</f>
        <v>432.68512418835047</v>
      </c>
      <c r="I98" s="24">
        <f>MIN(E98-H98,SUMPRODUCT((YEAR(Hipoteca!$H$4:$H$15)=YEAR(C98))*(MONTH(Hipoteca!$H$4:$H$15)=MONTH(C98))*(Hipoteca!$H$4:$H$15&lt;&gt;"")*Hipoteca!$I$4:$I$15))</f>
        <v>0</v>
      </c>
      <c r="J98" s="24">
        <f>MAX(0,E98-H98-I98)</f>
        <v>129463.26490321568</v>
      </c>
      <c r="K98" s="21">
        <f>IF(E98&lt;=0.005,0,IF(Hipoteca!$C$8="Reducir cuota",$K$6-(B98-1),IFERROR(MAX(1,ROUNDUP(NPER(D97/12,-F97,E98),0)),$K$6-(B98-1))))</f>
        <v>227</v>
      </c>
      <c r="L98" s="21">
        <f>YEAR(C98)</f>
        <v>2034</v>
      </c>
      <c r="N98" s="25">
        <f>R97</f>
        <v>147558.67987776684</v>
      </c>
      <c r="O98" s="25">
        <f>IF(N98&lt;=0.005,0,IF(D98&lt;&gt;D97,PMT(D98/12,Hipoteca!$C$5*12-(B98-1),-N98),O97))</f>
        <v>748.6477272887904</v>
      </c>
      <c r="P98" s="25">
        <f>N98*D98/12</f>
        <v>356.60014303793656</v>
      </c>
      <c r="Q98" s="25">
        <f>IF(N98&lt;=0.005,0,MIN(N98,O98-P98))</f>
        <v>392.04758425085384</v>
      </c>
      <c r="R98" s="25">
        <f>MAX(0,N98-Q98)</f>
        <v>147166.63229351598</v>
      </c>
    </row>
    <row r="99" spans="2:18" ht="18" customHeight="1">
      <c r="B99" s="21">
        <f>ROW()-5</f>
        <v>94</v>
      </c>
      <c r="C99" s="22">
        <f>EDATE(Hipoteca!$C$7,B99-1)</f>
        <v>49157.0</v>
      </c>
      <c r="D99" s="23">
        <f>IFERROR(LOOKUP(2,1/((Hipoteca!$E$4:$E$9&lt;&gt;"")*(Hipoteca!$E$4:$E$9&lt;=C99)),Hipoteca!$F$4:$F$9),Hipoteca!$C$6)</f>
        <v>0.029</v>
      </c>
      <c r="E99" s="24">
        <f>J98</f>
        <v>129463.26490321568</v>
      </c>
      <c r="F99" s="24">
        <f>IF(E99&lt;=0.005,0,MIN(E99*(1+D99/12),IF(OR(Hipoteca!$C$8="Reducir cuota",D99&lt;&gt;D98),PMT(D99/12,K99,-E99),F98)))</f>
        <v>746.6003367545769</v>
      </c>
      <c r="G99" s="24">
        <f>E99*D99/12</f>
        <v>312.8695568494379</v>
      </c>
      <c r="H99" s="24">
        <f>IF(E99&lt;=0.005,0,MIN(E99,F99-G99))</f>
        <v>433.730779905139</v>
      </c>
      <c r="I99" s="24">
        <f>MIN(E99-H99,SUMPRODUCT((YEAR(Hipoteca!$H$4:$H$15)=YEAR(C99))*(MONTH(Hipoteca!$H$4:$H$15)=MONTH(C99))*(Hipoteca!$H$4:$H$15&lt;&gt;"")*Hipoteca!$I$4:$I$15))</f>
        <v>0</v>
      </c>
      <c r="J99" s="24">
        <f>MAX(0,E99-H99-I99)</f>
        <v>129029.53412331054</v>
      </c>
      <c r="K99" s="21">
        <f>IF(E99&lt;=0.005,0,IF(Hipoteca!$C$8="Reducir cuota",$K$6-(B99-1),IFERROR(MAX(1,ROUNDUP(NPER(D98/12,-F98,E99),0)),$K$6-(B99-1))))</f>
        <v>226</v>
      </c>
      <c r="L99" s="21">
        <f>YEAR(C99)</f>
        <v>2034</v>
      </c>
      <c r="N99" s="25">
        <f>R98</f>
        <v>147166.63229351598</v>
      </c>
      <c r="O99" s="25">
        <f>IF(N99&lt;=0.005,0,IF(D99&lt;&gt;D98,PMT(D99/12,Hipoteca!$C$5*12-(B99-1),-N99),O98))</f>
        <v>748.6477272887904</v>
      </c>
      <c r="P99" s="25">
        <f>N99*D99/12</f>
        <v>355.6526947093303</v>
      </c>
      <c r="Q99" s="25">
        <f>IF(N99&lt;=0.005,0,MIN(N99,O99-P99))</f>
        <v>392.9950325794601</v>
      </c>
      <c r="R99" s="25">
        <f>MAX(0,N99-Q99)</f>
        <v>146773.63726093652</v>
      </c>
    </row>
    <row r="100" spans="2:18" ht="18" customHeight="1">
      <c r="B100" s="21">
        <f>ROW()-5</f>
        <v>95</v>
      </c>
      <c r="C100" s="22">
        <f>EDATE(Hipoteca!$C$7,B100-1)</f>
        <v>49188.0</v>
      </c>
      <c r="D100" s="23">
        <f>IFERROR(LOOKUP(2,1/((Hipoteca!$E$4:$E$9&lt;&gt;"")*(Hipoteca!$E$4:$E$9&lt;=C100)),Hipoteca!$F$4:$F$9),Hipoteca!$C$6)</f>
        <v>0.029</v>
      </c>
      <c r="E100" s="24">
        <f>J99</f>
        <v>129029.53412331054</v>
      </c>
      <c r="F100" s="24">
        <f>IF(E100&lt;=0.005,0,MIN(E100*(1+D100/12),IF(OR(Hipoteca!$C$8="Reducir cuota",D100&lt;&gt;D99),PMT(D100/12,K100,-E100),F99)))</f>
        <v>746.6003367545769</v>
      </c>
      <c r="G100" s="24">
        <f>E100*D100/12</f>
        <v>311.8213741313338</v>
      </c>
      <c r="H100" s="24">
        <f>IF(E100&lt;=0.005,0,MIN(E100,F100-G100))</f>
        <v>434.7789626232431</v>
      </c>
      <c r="I100" s="24">
        <f>MIN(E100-H100,SUMPRODUCT((YEAR(Hipoteca!$H$4:$H$15)=YEAR(C100))*(MONTH(Hipoteca!$H$4:$H$15)=MONTH(C100))*(Hipoteca!$H$4:$H$15&lt;&gt;"")*Hipoteca!$I$4:$I$15))</f>
        <v>0</v>
      </c>
      <c r="J100" s="24">
        <f>MAX(0,E100-H100-I100)</f>
        <v>128594.7551606873</v>
      </c>
      <c r="K100" s="21">
        <f>IF(E100&lt;=0.005,0,IF(Hipoteca!$C$8="Reducir cuota",$K$6-(B100-1),IFERROR(MAX(1,ROUNDUP(NPER(D99/12,-F99,E100),0)),$K$6-(B100-1))))</f>
        <v>225</v>
      </c>
      <c r="L100" s="21">
        <f>YEAR(C100)</f>
        <v>2034</v>
      </c>
      <c r="N100" s="25">
        <f>R99</f>
        <v>146773.63726093652</v>
      </c>
      <c r="O100" s="25">
        <f>IF(N100&lt;=0.005,0,IF(D100&lt;&gt;D99,PMT(D100/12,Hipoteca!$C$5*12-(B100-1),-N100),O99))</f>
        <v>748.6477272887904</v>
      </c>
      <c r="P100" s="25">
        <f>N100*D100/12</f>
        <v>354.70295671392995</v>
      </c>
      <c r="Q100" s="25">
        <f>IF(N100&lt;=0.005,0,MIN(N100,O100-P100))</f>
        <v>393.94477057486046</v>
      </c>
      <c r="R100" s="25">
        <f>MAX(0,N100-Q100)</f>
        <v>146379.69249036166</v>
      </c>
    </row>
    <row r="101" spans="2:18" ht="18" customHeight="1">
      <c r="B101" s="21">
        <f>ROW()-5</f>
        <v>96</v>
      </c>
      <c r="C101" s="22">
        <f>EDATE(Hipoteca!$C$7,B101-1)</f>
        <v>49218.0</v>
      </c>
      <c r="D101" s="23">
        <f>IFERROR(LOOKUP(2,1/((Hipoteca!$E$4:$E$9&lt;&gt;"")*(Hipoteca!$E$4:$E$9&lt;=C101)),Hipoteca!$F$4:$F$9),Hipoteca!$C$6)</f>
        <v>0.029</v>
      </c>
      <c r="E101" s="24">
        <f>J100</f>
        <v>128594.7551606873</v>
      </c>
      <c r="F101" s="24">
        <f>IF(E101&lt;=0.005,0,MIN(E101*(1+D101/12),IF(OR(Hipoteca!$C$8="Reducir cuota",D101&lt;&gt;D100),PMT(D101/12,K101,-E101),F100)))</f>
        <v>746.6003367545769</v>
      </c>
      <c r="G101" s="24">
        <f>E101*D101/12</f>
        <v>310.77065830499436</v>
      </c>
      <c r="H101" s="24">
        <f>IF(E101&lt;=0.005,0,MIN(E101,F101-G101))</f>
        <v>435.82967844958256</v>
      </c>
      <c r="I101" s="24">
        <f>MIN(E101-H101,SUMPRODUCT((YEAR(Hipoteca!$H$4:$H$15)=YEAR(C101))*(MONTH(Hipoteca!$H$4:$H$15)=MONTH(C101))*(Hipoteca!$H$4:$H$15&lt;&gt;"")*Hipoteca!$I$4:$I$15))</f>
        <v>0</v>
      </c>
      <c r="J101" s="24">
        <f>MAX(0,E101-H101-I101)</f>
        <v>128158.92548223773</v>
      </c>
      <c r="K101" s="21">
        <f>IF(E101&lt;=0.005,0,IF(Hipoteca!$C$8="Reducir cuota",$K$6-(B101-1),IFERROR(MAX(1,ROUNDUP(NPER(D100/12,-F100,E101),0)),$K$6-(B101-1))))</f>
        <v>224</v>
      </c>
      <c r="L101" s="21">
        <f>YEAR(C101)</f>
        <v>2034</v>
      </c>
      <c r="N101" s="25">
        <f>R100</f>
        <v>146379.69249036166</v>
      </c>
      <c r="O101" s="25">
        <f>IF(N101&lt;=0.005,0,IF(D101&lt;&gt;D100,PMT(D101/12,Hipoteca!$C$5*12-(B101-1),-N101),O100))</f>
        <v>748.6477272887904</v>
      </c>
      <c r="P101" s="25">
        <f>N101*D101/12</f>
        <v>353.75092351837407</v>
      </c>
      <c r="Q101" s="25">
        <f>IF(N101&lt;=0.005,0,MIN(N101,O101-P101))</f>
        <v>394.89680377041634</v>
      </c>
      <c r="R101" s="25">
        <f>MAX(0,N101-Q101)</f>
        <v>145984.79568659124</v>
      </c>
    </row>
    <row r="102" spans="2:18" ht="18" customHeight="1">
      <c r="B102" s="21">
        <f>ROW()-5</f>
        <v>97</v>
      </c>
      <c r="C102" s="22">
        <f>EDATE(Hipoteca!$C$7,B102-1)</f>
        <v>49249.0</v>
      </c>
      <c r="D102" s="23">
        <f>IFERROR(LOOKUP(2,1/((Hipoteca!$E$4:$E$9&lt;&gt;"")*(Hipoteca!$E$4:$E$9&lt;=C102)),Hipoteca!$F$4:$F$9),Hipoteca!$C$6)</f>
        <v>0.029</v>
      </c>
      <c r="E102" s="24">
        <f>J101</f>
        <v>128158.92548223773</v>
      </c>
      <c r="F102" s="24">
        <f>IF(E102&lt;=0.005,0,MIN(E102*(1+D102/12),IF(OR(Hipoteca!$C$8="Reducir cuota",D102&lt;&gt;D101),PMT(D102/12,K102,-E102),F101)))</f>
        <v>746.6003367545769</v>
      </c>
      <c r="G102" s="24">
        <f>E102*D102/12</f>
        <v>309.71740324874116</v>
      </c>
      <c r="H102" s="24">
        <f>IF(E102&lt;=0.005,0,MIN(E102,F102-G102))</f>
        <v>436.88293350583575</v>
      </c>
      <c r="I102" s="24">
        <f>MIN(E102-H102,SUMPRODUCT((YEAR(Hipoteca!$H$4:$H$15)=YEAR(C102))*(MONTH(Hipoteca!$H$4:$H$15)=MONTH(C102))*(Hipoteca!$H$4:$H$15&lt;&gt;"")*Hipoteca!$I$4:$I$15))</f>
        <v>0</v>
      </c>
      <c r="J102" s="24">
        <f>MAX(0,E102-H102-I102)</f>
        <v>127722.04254873189</v>
      </c>
      <c r="K102" s="21">
        <f>IF(E102&lt;=0.005,0,IF(Hipoteca!$C$8="Reducir cuota",$K$6-(B102-1),IFERROR(MAX(1,ROUNDUP(NPER(D101/12,-F101,E102),0)),$K$6-(B102-1))))</f>
        <v>223</v>
      </c>
      <c r="L102" s="21">
        <f>YEAR(C102)</f>
        <v>2034</v>
      </c>
      <c r="N102" s="25">
        <f>R101</f>
        <v>145984.79568659124</v>
      </c>
      <c r="O102" s="25">
        <f>IF(N102&lt;=0.005,0,IF(D102&lt;&gt;D101,PMT(D102/12,Hipoteca!$C$5*12-(B102-1),-N102),O101))</f>
        <v>748.6477272887904</v>
      </c>
      <c r="P102" s="25">
        <f>N102*D102/12</f>
        <v>352.79658957592886</v>
      </c>
      <c r="Q102" s="25">
        <f>IF(N102&lt;=0.005,0,MIN(N102,O102-P102))</f>
        <v>395.85113771286154</v>
      </c>
      <c r="R102" s="25">
        <f>MAX(0,N102-Q102)</f>
        <v>145588.94454887838</v>
      </c>
    </row>
    <row r="103" spans="2:18" ht="18" customHeight="1">
      <c r="B103" s="21">
        <f>ROW()-5</f>
        <v>98</v>
      </c>
      <c r="C103" s="22">
        <f>EDATE(Hipoteca!$C$7,B103-1)</f>
        <v>49279.0</v>
      </c>
      <c r="D103" s="23">
        <f>IFERROR(LOOKUP(2,1/((Hipoteca!$E$4:$E$9&lt;&gt;"")*(Hipoteca!$E$4:$E$9&lt;=C103)),Hipoteca!$F$4:$F$9),Hipoteca!$C$6)</f>
        <v>0.029</v>
      </c>
      <c r="E103" s="24">
        <f>J102</f>
        <v>127722.04254873189</v>
      </c>
      <c r="F103" s="24">
        <f>IF(E103&lt;=0.005,0,MIN(E103*(1+D103/12),IF(OR(Hipoteca!$C$8="Reducir cuota",D103&lt;&gt;D102),PMT(D103/12,K103,-E103),F102)))</f>
        <v>746.6003367545769</v>
      </c>
      <c r="G103" s="24">
        <f>E103*D103/12</f>
        <v>308.66160282610207</v>
      </c>
      <c r="H103" s="24">
        <f>IF(E103&lt;=0.005,0,MIN(E103,F103-G103))</f>
        <v>437.93873392847485</v>
      </c>
      <c r="I103" s="24">
        <f>MIN(E103-H103,SUMPRODUCT((YEAR(Hipoteca!$H$4:$H$15)=YEAR(C103))*(MONTH(Hipoteca!$H$4:$H$15)=MONTH(C103))*(Hipoteca!$H$4:$H$15&lt;&gt;"")*Hipoteca!$I$4:$I$15))</f>
        <v>0</v>
      </c>
      <c r="J103" s="24">
        <f>MAX(0,E103-H103-I103)</f>
        <v>127284.10381480341</v>
      </c>
      <c r="K103" s="21">
        <f>IF(E103&lt;=0.005,0,IF(Hipoteca!$C$8="Reducir cuota",$K$6-(B103-1),IFERROR(MAX(1,ROUNDUP(NPER(D102/12,-F102,E103),0)),$K$6-(B103-1))))</f>
        <v>222</v>
      </c>
      <c r="L103" s="21">
        <f>YEAR(C103)</f>
        <v>2034</v>
      </c>
      <c r="N103" s="25">
        <f>R102</f>
        <v>145588.94454887838</v>
      </c>
      <c r="O103" s="25">
        <f>IF(N103&lt;=0.005,0,IF(D103&lt;&gt;D102,PMT(D103/12,Hipoteca!$C$5*12-(B103-1),-N103),O102))</f>
        <v>748.6477272887904</v>
      </c>
      <c r="P103" s="25">
        <f>N103*D103/12</f>
        <v>351.83994932645606</v>
      </c>
      <c r="Q103" s="25">
        <f>IF(N103&lt;=0.005,0,MIN(N103,O103-P103))</f>
        <v>396.80777796233434</v>
      </c>
      <c r="R103" s="25">
        <f>MAX(0,N103-Q103)</f>
        <v>145192.13677091605</v>
      </c>
    </row>
    <row r="104" spans="2:18" ht="18" customHeight="1">
      <c r="B104" s="21">
        <f>ROW()-5</f>
        <v>99</v>
      </c>
      <c r="C104" s="22">
        <f>EDATE(Hipoteca!$C$7,B104-1)</f>
        <v>49310.0</v>
      </c>
      <c r="D104" s="23">
        <f>IFERROR(LOOKUP(2,1/((Hipoteca!$E$4:$E$9&lt;&gt;"")*(Hipoteca!$E$4:$E$9&lt;=C104)),Hipoteca!$F$4:$F$9),Hipoteca!$C$6)</f>
        <v>0.029</v>
      </c>
      <c r="E104" s="24">
        <f>J103</f>
        <v>127284.10381480341</v>
      </c>
      <c r="F104" s="24">
        <f>IF(E104&lt;=0.005,0,MIN(E104*(1+D104/12),IF(OR(Hipoteca!$C$8="Reducir cuota",D104&lt;&gt;D103),PMT(D104/12,K104,-E104),F103)))</f>
        <v>746.6003367545769</v>
      </c>
      <c r="G104" s="24">
        <f>E104*D104/12</f>
        <v>307.6032508857749</v>
      </c>
      <c r="H104" s="24">
        <f>IF(E104&lt;=0.005,0,MIN(E104,F104-G104))</f>
        <v>438.997085868802</v>
      </c>
      <c r="I104" s="24">
        <f>MIN(E104-H104,SUMPRODUCT((YEAR(Hipoteca!$H$4:$H$15)=YEAR(C104))*(MONTH(Hipoteca!$H$4:$H$15)=MONTH(C104))*(Hipoteca!$H$4:$H$15&lt;&gt;"")*Hipoteca!$I$4:$I$15))</f>
        <v>0</v>
      </c>
      <c r="J104" s="24">
        <f>MAX(0,E104-H104-I104)</f>
        <v>126845.10672893461</v>
      </c>
      <c r="K104" s="21">
        <f>IF(E104&lt;=0.005,0,IF(Hipoteca!$C$8="Reducir cuota",$K$6-(B104-1),IFERROR(MAX(1,ROUNDUP(NPER(D103/12,-F103,E104),0)),$K$6-(B104-1))))</f>
        <v>221</v>
      </c>
      <c r="L104" s="21">
        <f>YEAR(C104)</f>
        <v>2035</v>
      </c>
      <c r="N104" s="25">
        <f>R103</f>
        <v>145192.13677091605</v>
      </c>
      <c r="O104" s="25">
        <f>IF(N104&lt;=0.005,0,IF(D104&lt;&gt;D103,PMT(D104/12,Hipoteca!$C$5*12-(B104-1),-N104),O103))</f>
        <v>748.6477272887904</v>
      </c>
      <c r="P104" s="25">
        <f>N104*D104/12</f>
        <v>350.8809971963805</v>
      </c>
      <c r="Q104" s="25">
        <f>IF(N104&lt;=0.005,0,MIN(N104,O104-P104))</f>
        <v>397.7667300924099</v>
      </c>
      <c r="R104" s="25">
        <f>MAX(0,N104-Q104)</f>
        <v>144794.37004082365</v>
      </c>
    </row>
    <row r="105" spans="2:18" ht="18" customHeight="1">
      <c r="B105" s="21">
        <f>ROW()-5</f>
        <v>100</v>
      </c>
      <c r="C105" s="22">
        <f>EDATE(Hipoteca!$C$7,B105-1)</f>
        <v>49341.0</v>
      </c>
      <c r="D105" s="23">
        <f>IFERROR(LOOKUP(2,1/((Hipoteca!$E$4:$E$9&lt;&gt;"")*(Hipoteca!$E$4:$E$9&lt;=C105)),Hipoteca!$F$4:$F$9),Hipoteca!$C$6)</f>
        <v>0.029</v>
      </c>
      <c r="E105" s="24">
        <f>J104</f>
        <v>126845.10672893461</v>
      </c>
      <c r="F105" s="24">
        <f>IF(E105&lt;=0.005,0,MIN(E105*(1+D105/12),IF(OR(Hipoteca!$C$8="Reducir cuota",D105&lt;&gt;D104),PMT(D105/12,K105,-E105),F104)))</f>
        <v>746.6003367545769</v>
      </c>
      <c r="G105" s="24">
        <f>E105*D105/12</f>
        <v>306.54234126159196</v>
      </c>
      <c r="H105" s="24">
        <f>IF(E105&lt;=0.005,0,MIN(E105,F105-G105))</f>
        <v>440.05799549298496</v>
      </c>
      <c r="I105" s="24">
        <f>MIN(E105-H105,SUMPRODUCT((YEAR(Hipoteca!$H$4:$H$15)=YEAR(C105))*(MONTH(Hipoteca!$H$4:$H$15)=MONTH(C105))*(Hipoteca!$H$4:$H$15&lt;&gt;"")*Hipoteca!$I$4:$I$15))</f>
        <v>0</v>
      </c>
      <c r="J105" s="24">
        <f>MAX(0,E105-H105-I105)</f>
        <v>126405.04873344162</v>
      </c>
      <c r="K105" s="21">
        <f>IF(E105&lt;=0.005,0,IF(Hipoteca!$C$8="Reducir cuota",$K$6-(B105-1),IFERROR(MAX(1,ROUNDUP(NPER(D104/12,-F104,E105),0)),$K$6-(B105-1))))</f>
        <v>220</v>
      </c>
      <c r="L105" s="21">
        <f>YEAR(C105)</f>
        <v>2035</v>
      </c>
      <c r="N105" s="25">
        <f>R104</f>
        <v>144794.37004082365</v>
      </c>
      <c r="O105" s="25">
        <f>IF(N105&lt;=0.005,0,IF(D105&lt;&gt;D104,PMT(D105/12,Hipoteca!$C$5*12-(B105-1),-N105),O104))</f>
        <v>748.6477272887904</v>
      </c>
      <c r="P105" s="25">
        <f>N105*D105/12</f>
        <v>349.9197275986572</v>
      </c>
      <c r="Q105" s="25">
        <f>IF(N105&lt;=0.005,0,MIN(N105,O105-P105))</f>
        <v>398.72799969013323</v>
      </c>
      <c r="R105" s="25">
        <f>MAX(0,N105-Q105)</f>
        <v>144395.6420411335</v>
      </c>
    </row>
    <row r="106" spans="2:18" ht="18" customHeight="1">
      <c r="B106" s="21">
        <f>ROW()-5</f>
        <v>101</v>
      </c>
      <c r="C106" s="22">
        <f>EDATE(Hipoteca!$C$7,B106-1)</f>
        <v>49369.0</v>
      </c>
      <c r="D106" s="23">
        <f>IFERROR(LOOKUP(2,1/((Hipoteca!$E$4:$E$9&lt;&gt;"")*(Hipoteca!$E$4:$E$9&lt;=C106)),Hipoteca!$F$4:$F$9),Hipoteca!$C$6)</f>
        <v>0.029</v>
      </c>
      <c r="E106" s="24">
        <f>J105</f>
        <v>126405.04873344162</v>
      </c>
      <c r="F106" s="24">
        <f>IF(E106&lt;=0.005,0,MIN(E106*(1+D106/12),IF(OR(Hipoteca!$C$8="Reducir cuota",D106&lt;&gt;D105),PMT(D106/12,K106,-E106),F105)))</f>
        <v>746.6003367545769</v>
      </c>
      <c r="G106" s="24">
        <f>E106*D106/12</f>
        <v>305.47886777248397</v>
      </c>
      <c r="H106" s="24">
        <f>IF(E106&lt;=0.005,0,MIN(E106,F106-G106))</f>
        <v>441.12146898209295</v>
      </c>
      <c r="I106" s="24">
        <f>MIN(E106-H106,SUMPRODUCT((YEAR(Hipoteca!$H$4:$H$15)=YEAR(C106))*(MONTH(Hipoteca!$H$4:$H$15)=MONTH(C106))*(Hipoteca!$H$4:$H$15&lt;&gt;"")*Hipoteca!$I$4:$I$15))</f>
        <v>0</v>
      </c>
      <c r="J106" s="24">
        <f>MAX(0,E106-H106-I106)</f>
        <v>125963.92726445953</v>
      </c>
      <c r="K106" s="21">
        <f>IF(E106&lt;=0.005,0,IF(Hipoteca!$C$8="Reducir cuota",$K$6-(B106-1),IFERROR(MAX(1,ROUNDUP(NPER(D105/12,-F105,E106),0)),$K$6-(B106-1))))</f>
        <v>219</v>
      </c>
      <c r="L106" s="21">
        <f>YEAR(C106)</f>
        <v>2035</v>
      </c>
      <c r="N106" s="25">
        <f>R105</f>
        <v>144395.6420411335</v>
      </c>
      <c r="O106" s="25">
        <f>IF(N106&lt;=0.005,0,IF(D106&lt;&gt;D105,PMT(D106/12,Hipoteca!$C$5*12-(B106-1),-N106),O105))</f>
        <v>748.6477272887904</v>
      </c>
      <c r="P106" s="25">
        <f>N106*D106/12</f>
        <v>348.95613493273936</v>
      </c>
      <c r="Q106" s="25">
        <f>IF(N106&lt;=0.005,0,MIN(N106,O106-P106))</f>
        <v>399.69159235605105</v>
      </c>
      <c r="R106" s="25">
        <f>MAX(0,N106-Q106)</f>
        <v>143995.95044877747</v>
      </c>
    </row>
    <row r="107" spans="2:18" ht="18" customHeight="1">
      <c r="B107" s="21">
        <f>ROW()-5</f>
        <v>102</v>
      </c>
      <c r="C107" s="22">
        <f>EDATE(Hipoteca!$C$7,B107-1)</f>
        <v>49400.0</v>
      </c>
      <c r="D107" s="23">
        <f>IFERROR(LOOKUP(2,1/((Hipoteca!$E$4:$E$9&lt;&gt;"")*(Hipoteca!$E$4:$E$9&lt;=C107)),Hipoteca!$F$4:$F$9),Hipoteca!$C$6)</f>
        <v>0.029</v>
      </c>
      <c r="E107" s="24">
        <f>J106</f>
        <v>125963.92726445953</v>
      </c>
      <c r="F107" s="24">
        <f>IF(E107&lt;=0.005,0,MIN(E107*(1+D107/12),IF(OR(Hipoteca!$C$8="Reducir cuota",D107&lt;&gt;D106),PMT(D107/12,K107,-E107),F106)))</f>
        <v>746.6003367545769</v>
      </c>
      <c r="G107" s="24">
        <f>E107*D107/12</f>
        <v>304.4128242224439</v>
      </c>
      <c r="H107" s="24">
        <f>IF(E107&lt;=0.005,0,MIN(E107,F107-G107))</f>
        <v>442.18751253213304</v>
      </c>
      <c r="I107" s="24">
        <f>MIN(E107-H107,SUMPRODUCT((YEAR(Hipoteca!$H$4:$H$15)=YEAR(C107))*(MONTH(Hipoteca!$H$4:$H$15)=MONTH(C107))*(Hipoteca!$H$4:$H$15&lt;&gt;"")*Hipoteca!$I$4:$I$15))</f>
        <v>0</v>
      </c>
      <c r="J107" s="24">
        <f>MAX(0,E107-H107-I107)</f>
        <v>125521.7397519274</v>
      </c>
      <c r="K107" s="21">
        <f>IF(E107&lt;=0.005,0,IF(Hipoteca!$C$8="Reducir cuota",$K$6-(B107-1),IFERROR(MAX(1,ROUNDUP(NPER(D106/12,-F106,E107),0)),$K$6-(B107-1))))</f>
        <v>218</v>
      </c>
      <c r="L107" s="21">
        <f>YEAR(C107)</f>
        <v>2035</v>
      </c>
      <c r="N107" s="25">
        <f>R106</f>
        <v>143995.95044877747</v>
      </c>
      <c r="O107" s="25">
        <f>IF(N107&lt;=0.005,0,IF(D107&lt;&gt;D106,PMT(D107/12,Hipoteca!$C$5*12-(B107-1),-N107),O106))</f>
        <v>748.6477272887904</v>
      </c>
      <c r="P107" s="25">
        <f>N107*D107/12</f>
        <v>347.99021358454553</v>
      </c>
      <c r="Q107" s="25">
        <f>IF(N107&lt;=0.005,0,MIN(N107,O107-P107))</f>
        <v>400.6575137042449</v>
      </c>
      <c r="R107" s="25">
        <f>MAX(0,N107-Q107)</f>
        <v>143595.29293507323</v>
      </c>
    </row>
    <row r="108" spans="2:18" ht="18" customHeight="1">
      <c r="B108" s="21">
        <f>ROW()-5</f>
        <v>103</v>
      </c>
      <c r="C108" s="22">
        <f>EDATE(Hipoteca!$C$7,B108-1)</f>
        <v>49430.0</v>
      </c>
      <c r="D108" s="23">
        <f>IFERROR(LOOKUP(2,1/((Hipoteca!$E$4:$E$9&lt;&gt;"")*(Hipoteca!$E$4:$E$9&lt;=C108)),Hipoteca!$F$4:$F$9),Hipoteca!$C$6)</f>
        <v>0.029</v>
      </c>
      <c r="E108" s="24">
        <f>J107</f>
        <v>125521.7397519274</v>
      </c>
      <c r="F108" s="24">
        <f>IF(E108&lt;=0.005,0,MIN(E108*(1+D108/12),IF(OR(Hipoteca!$C$8="Reducir cuota",D108&lt;&gt;D107),PMT(D108/12,K108,-E108),F107)))</f>
        <v>746.6003367545769</v>
      </c>
      <c r="G108" s="24">
        <f>E108*D108/12</f>
        <v>303.3442044004912</v>
      </c>
      <c r="H108" s="24">
        <f>IF(E108&lt;=0.005,0,MIN(E108,F108-G108))</f>
        <v>443.2561323540857</v>
      </c>
      <c r="I108" s="24">
        <f>MIN(E108-H108,SUMPRODUCT((YEAR(Hipoteca!$H$4:$H$15)=YEAR(C108))*(MONTH(Hipoteca!$H$4:$H$15)=MONTH(C108))*(Hipoteca!$H$4:$H$15&lt;&gt;"")*Hipoteca!$I$4:$I$15))</f>
        <v>0</v>
      </c>
      <c r="J108" s="24">
        <f>MAX(0,E108-H108-I108)</f>
        <v>125078.48361957331</v>
      </c>
      <c r="K108" s="21">
        <f>IF(E108&lt;=0.005,0,IF(Hipoteca!$C$8="Reducir cuota",$K$6-(B108-1),IFERROR(MAX(1,ROUNDUP(NPER(D107/12,-F107,E108),0)),$K$6-(B108-1))))</f>
        <v>217</v>
      </c>
      <c r="L108" s="21">
        <f>YEAR(C108)</f>
        <v>2035</v>
      </c>
      <c r="N108" s="25">
        <f>R107</f>
        <v>143595.29293507323</v>
      </c>
      <c r="O108" s="25">
        <f>IF(N108&lt;=0.005,0,IF(D108&lt;&gt;D107,PMT(D108/12,Hipoteca!$C$5*12-(B108-1),-N108),O107))</f>
        <v>748.6477272887904</v>
      </c>
      <c r="P108" s="25">
        <f>N108*D108/12</f>
        <v>347.021957926427</v>
      </c>
      <c r="Q108" s="25">
        <f>IF(N108&lt;=0.005,0,MIN(N108,O108-P108))</f>
        <v>401.6257693623634</v>
      </c>
      <c r="R108" s="25">
        <f>MAX(0,N108-Q108)</f>
        <v>143193.66716571085</v>
      </c>
    </row>
    <row r="109" spans="2:18" ht="18" customHeight="1">
      <c r="B109" s="21">
        <f>ROW()-5</f>
        <v>104</v>
      </c>
      <c r="C109" s="22">
        <f>EDATE(Hipoteca!$C$7,B109-1)</f>
        <v>49461.0</v>
      </c>
      <c r="D109" s="23">
        <f>IFERROR(LOOKUP(2,1/((Hipoteca!$E$4:$E$9&lt;&gt;"")*(Hipoteca!$E$4:$E$9&lt;=C109)),Hipoteca!$F$4:$F$9),Hipoteca!$C$6)</f>
        <v>0.029</v>
      </c>
      <c r="E109" s="24">
        <f>J108</f>
        <v>125078.48361957331</v>
      </c>
      <c r="F109" s="24">
        <f>IF(E109&lt;=0.005,0,MIN(E109*(1+D109/12),IF(OR(Hipoteca!$C$8="Reducir cuota",D109&lt;&gt;D108),PMT(D109/12,K109,-E109),F108)))</f>
        <v>746.6003367545769</v>
      </c>
      <c r="G109" s="24">
        <f>E109*D109/12</f>
        <v>302.27300208063554</v>
      </c>
      <c r="H109" s="24">
        <f>IF(E109&lt;=0.005,0,MIN(E109,F109-G109))</f>
        <v>444.3273346739414</v>
      </c>
      <c r="I109" s="24">
        <f>MIN(E109-H109,SUMPRODUCT((YEAR(Hipoteca!$H$4:$H$15)=YEAR(C109))*(MONTH(Hipoteca!$H$4:$H$15)=MONTH(C109))*(Hipoteca!$H$4:$H$15&lt;&gt;"")*Hipoteca!$I$4:$I$15))</f>
        <v>0</v>
      </c>
      <c r="J109" s="24">
        <f>MAX(0,E109-H109-I109)</f>
        <v>124634.15628489936</v>
      </c>
      <c r="K109" s="21">
        <f>IF(E109&lt;=0.005,0,IF(Hipoteca!$C$8="Reducir cuota",$K$6-(B109-1),IFERROR(MAX(1,ROUNDUP(NPER(D108/12,-F108,E109),0)),$K$6-(B109-1))))</f>
        <v>216</v>
      </c>
      <c r="L109" s="21">
        <f>YEAR(C109)</f>
        <v>2035</v>
      </c>
      <c r="N109" s="25">
        <f>R108</f>
        <v>143193.66716571085</v>
      </c>
      <c r="O109" s="25">
        <f>IF(N109&lt;=0.005,0,IF(D109&lt;&gt;D108,PMT(D109/12,Hipoteca!$C$5*12-(B109-1),-N109),O108))</f>
        <v>748.6477272887904</v>
      </c>
      <c r="P109" s="25">
        <f>N109*D109/12</f>
        <v>346.0513623171346</v>
      </c>
      <c r="Q109" s="25">
        <f>IF(N109&lt;=0.005,0,MIN(N109,O109-P109))</f>
        <v>402.5963649716558</v>
      </c>
      <c r="R109" s="25">
        <f>MAX(0,N109-Q109)</f>
        <v>142791.0708007392</v>
      </c>
    </row>
    <row r="110" spans="2:18" ht="18" customHeight="1">
      <c r="B110" s="21">
        <f>ROW()-5</f>
        <v>105</v>
      </c>
      <c r="C110" s="22">
        <f>EDATE(Hipoteca!$C$7,B110-1)</f>
        <v>49491.0</v>
      </c>
      <c r="D110" s="23">
        <f>IFERROR(LOOKUP(2,1/((Hipoteca!$E$4:$E$9&lt;&gt;"")*(Hipoteca!$E$4:$E$9&lt;=C110)),Hipoteca!$F$4:$F$9),Hipoteca!$C$6)</f>
        <v>0.029</v>
      </c>
      <c r="E110" s="24">
        <f>J109</f>
        <v>124634.15628489936</v>
      </c>
      <c r="F110" s="24">
        <f>IF(E110&lt;=0.005,0,MIN(E110*(1+D110/12),IF(OR(Hipoteca!$C$8="Reducir cuota",D110&lt;&gt;D109),PMT(D110/12,K110,-E110),F109)))</f>
        <v>746.6003367545769</v>
      </c>
      <c r="G110" s="24">
        <f>E110*D110/12</f>
        <v>301.19921102184014</v>
      </c>
      <c r="H110" s="24">
        <f>IF(E110&lt;=0.005,0,MIN(E110,F110-G110))</f>
        <v>445.4011257327368</v>
      </c>
      <c r="I110" s="24">
        <f>MIN(E110-H110,SUMPRODUCT((YEAR(Hipoteca!$H$4:$H$15)=YEAR(C110))*(MONTH(Hipoteca!$H$4:$H$15)=MONTH(C110))*(Hipoteca!$H$4:$H$15&lt;&gt;"")*Hipoteca!$I$4:$I$15))</f>
        <v>0</v>
      </c>
      <c r="J110" s="24">
        <f>MAX(0,E110-H110-I110)</f>
        <v>124188.75515916663</v>
      </c>
      <c r="K110" s="21">
        <f>IF(E110&lt;=0.005,0,IF(Hipoteca!$C$8="Reducir cuota",$K$6-(B110-1),IFERROR(MAX(1,ROUNDUP(NPER(D109/12,-F109,E110),0)),$K$6-(B110-1))))</f>
        <v>215</v>
      </c>
      <c r="L110" s="21">
        <f>YEAR(C110)</f>
        <v>2035</v>
      </c>
      <c r="N110" s="25">
        <f>R109</f>
        <v>142791.0708007392</v>
      </c>
      <c r="O110" s="25">
        <f>IF(N110&lt;=0.005,0,IF(D110&lt;&gt;D109,PMT(D110/12,Hipoteca!$C$5*12-(B110-1),-N110),O109))</f>
        <v>748.6477272887904</v>
      </c>
      <c r="P110" s="25">
        <f>N110*D110/12</f>
        <v>345.07842110178643</v>
      </c>
      <c r="Q110" s="25">
        <f>IF(N110&lt;=0.005,0,MIN(N110,O110-P110))</f>
        <v>403.569306187004</v>
      </c>
      <c r="R110" s="25">
        <f>MAX(0,N110-Q110)</f>
        <v>142387.50149455218</v>
      </c>
    </row>
    <row r="111" spans="2:18" ht="18" customHeight="1">
      <c r="B111" s="21">
        <f>ROW()-5</f>
        <v>106</v>
      </c>
      <c r="C111" s="22">
        <f>EDATE(Hipoteca!$C$7,B111-1)</f>
        <v>49522.0</v>
      </c>
      <c r="D111" s="23">
        <f>IFERROR(LOOKUP(2,1/((Hipoteca!$E$4:$E$9&lt;&gt;"")*(Hipoteca!$E$4:$E$9&lt;=C111)),Hipoteca!$F$4:$F$9),Hipoteca!$C$6)</f>
        <v>0.029</v>
      </c>
      <c r="E111" s="24">
        <f>J110</f>
        <v>124188.75515916663</v>
      </c>
      <c r="F111" s="24">
        <f>IF(E111&lt;=0.005,0,MIN(E111*(1+D111/12),IF(OR(Hipoteca!$C$8="Reducir cuota",D111&lt;&gt;D110),PMT(D111/12,K111,-E111),F110)))</f>
        <v>746.6003367545769</v>
      </c>
      <c r="G111" s="24">
        <f>E111*D111/12</f>
        <v>300.12282496798605</v>
      </c>
      <c r="H111" s="24">
        <f>IF(E111&lt;=0.005,0,MIN(E111,F111-G111))</f>
        <v>446.47751178659087</v>
      </c>
      <c r="I111" s="24">
        <f>MIN(E111-H111,SUMPRODUCT((YEAR(Hipoteca!$H$4:$H$15)=YEAR(C111))*(MONTH(Hipoteca!$H$4:$H$15)=MONTH(C111))*(Hipoteca!$H$4:$H$15&lt;&gt;"")*Hipoteca!$I$4:$I$15))</f>
        <v>0</v>
      </c>
      <c r="J111" s="24">
        <f>MAX(0,E111-H111-I111)</f>
        <v>123742.27764738003</v>
      </c>
      <c r="K111" s="21">
        <f>IF(E111&lt;=0.005,0,IF(Hipoteca!$C$8="Reducir cuota",$K$6-(B111-1),IFERROR(MAX(1,ROUNDUP(NPER(D110/12,-F110,E111),0)),$K$6-(B111-1))))</f>
        <v>214</v>
      </c>
      <c r="L111" s="21">
        <f>YEAR(C111)</f>
        <v>2035</v>
      </c>
      <c r="N111" s="25">
        <f>R110</f>
        <v>142387.50149455218</v>
      </c>
      <c r="O111" s="25">
        <f>IF(N111&lt;=0.005,0,IF(D111&lt;&gt;D110,PMT(D111/12,Hipoteca!$C$5*12-(B111-1),-N111),O110))</f>
        <v>748.6477272887904</v>
      </c>
      <c r="P111" s="25">
        <f>N111*D111/12</f>
        <v>344.1031286118345</v>
      </c>
      <c r="Q111" s="25">
        <f>IF(N111&lt;=0.005,0,MIN(N111,O111-P111))</f>
        <v>404.5445986769559</v>
      </c>
      <c r="R111" s="25">
        <f>MAX(0,N111-Q111)</f>
        <v>141982.95689587522</v>
      </c>
    </row>
    <row r="112" spans="2:18" ht="18" customHeight="1">
      <c r="B112" s="21">
        <f>ROW()-5</f>
        <v>107</v>
      </c>
      <c r="C112" s="22">
        <f>EDATE(Hipoteca!$C$7,B112-1)</f>
        <v>49553.0</v>
      </c>
      <c r="D112" s="23">
        <f>IFERROR(LOOKUP(2,1/((Hipoteca!$E$4:$E$9&lt;&gt;"")*(Hipoteca!$E$4:$E$9&lt;=C112)),Hipoteca!$F$4:$F$9),Hipoteca!$C$6)</f>
        <v>0.029</v>
      </c>
      <c r="E112" s="24">
        <f>J111</f>
        <v>123742.27764738003</v>
      </c>
      <c r="F112" s="24">
        <f>IF(E112&lt;=0.005,0,MIN(E112*(1+D112/12),IF(OR(Hipoteca!$C$8="Reducir cuota",D112&lt;&gt;D111),PMT(D112/12,K112,-E112),F111)))</f>
        <v>746.6003367545769</v>
      </c>
      <c r="G112" s="24">
        <f>E112*D112/12</f>
        <v>299.0438376478351</v>
      </c>
      <c r="H112" s="24">
        <f>IF(E112&lt;=0.005,0,MIN(E112,F112-G112))</f>
        <v>447.5564991067418</v>
      </c>
      <c r="I112" s="24">
        <f>MIN(E112-H112,SUMPRODUCT((YEAR(Hipoteca!$H$4:$H$15)=YEAR(C112))*(MONTH(Hipoteca!$H$4:$H$15)=MONTH(C112))*(Hipoteca!$H$4:$H$15&lt;&gt;"")*Hipoteca!$I$4:$I$15))</f>
        <v>0</v>
      </c>
      <c r="J112" s="24">
        <f>MAX(0,E112-H112-I112)</f>
        <v>123294.7211482733</v>
      </c>
      <c r="K112" s="21">
        <f>IF(E112&lt;=0.005,0,IF(Hipoteca!$C$8="Reducir cuota",$K$6-(B112-1),IFERROR(MAX(1,ROUNDUP(NPER(D111/12,-F111,E112),0)),$K$6-(B112-1))))</f>
        <v>213</v>
      </c>
      <c r="L112" s="21">
        <f>YEAR(C112)</f>
        <v>2035</v>
      </c>
      <c r="N112" s="25">
        <f>R111</f>
        <v>141982.95689587522</v>
      </c>
      <c r="O112" s="25">
        <f>IF(N112&lt;=0.005,0,IF(D112&lt;&gt;D111,PMT(D112/12,Hipoteca!$C$5*12-(B112-1),-N112),O111))</f>
        <v>748.6477272887904</v>
      </c>
      <c r="P112" s="25">
        <f>N112*D112/12</f>
        <v>343.1254791650318</v>
      </c>
      <c r="Q112" s="25">
        <f>IF(N112&lt;=0.005,0,MIN(N112,O112-P112))</f>
        <v>405.52224812375863</v>
      </c>
      <c r="R112" s="25">
        <f>MAX(0,N112-Q112)</f>
        <v>141577.43464775145</v>
      </c>
    </row>
    <row r="113" spans="2:18" ht="18" customHeight="1">
      <c r="B113" s="21">
        <f>ROW()-5</f>
        <v>108</v>
      </c>
      <c r="C113" s="22">
        <f>EDATE(Hipoteca!$C$7,B113-1)</f>
        <v>49583.0</v>
      </c>
      <c r="D113" s="23">
        <f>IFERROR(LOOKUP(2,1/((Hipoteca!$E$4:$E$9&lt;&gt;"")*(Hipoteca!$E$4:$E$9&lt;=C113)),Hipoteca!$F$4:$F$9),Hipoteca!$C$6)</f>
        <v>0.029</v>
      </c>
      <c r="E113" s="24">
        <f>J112</f>
        <v>123294.7211482733</v>
      </c>
      <c r="F113" s="24">
        <f>IF(E113&lt;=0.005,0,MIN(E113*(1+D113/12),IF(OR(Hipoteca!$C$8="Reducir cuota",D113&lt;&gt;D112),PMT(D113/12,K113,-E113),F112)))</f>
        <v>746.6003367545769</v>
      </c>
      <c r="G113" s="24">
        <f>E113*D113/12</f>
        <v>297.9622427749938</v>
      </c>
      <c r="H113" s="24">
        <f>IF(E113&lt;=0.005,0,MIN(E113,F113-G113))</f>
        <v>448.6380939795831</v>
      </c>
      <c r="I113" s="24">
        <f>MIN(E113-H113,SUMPRODUCT((YEAR(Hipoteca!$H$4:$H$15)=YEAR(C113))*(MONTH(Hipoteca!$H$4:$H$15)=MONTH(C113))*(Hipoteca!$H$4:$H$15&lt;&gt;"")*Hipoteca!$I$4:$I$15))</f>
        <v>0</v>
      </c>
      <c r="J113" s="24">
        <f>MAX(0,E113-H113-I113)</f>
        <v>122846.08305429372</v>
      </c>
      <c r="K113" s="21">
        <f>IF(E113&lt;=0.005,0,IF(Hipoteca!$C$8="Reducir cuota",$K$6-(B113-1),IFERROR(MAX(1,ROUNDUP(NPER(D112/12,-F112,E113),0)),$K$6-(B113-1))))</f>
        <v>212</v>
      </c>
      <c r="L113" s="21">
        <f>YEAR(C113)</f>
        <v>2035</v>
      </c>
      <c r="N113" s="25">
        <f>R112</f>
        <v>141577.43464775145</v>
      </c>
      <c r="O113" s="25">
        <f>IF(N113&lt;=0.005,0,IF(D113&lt;&gt;D112,PMT(D113/12,Hipoteca!$C$5*12-(B113-1),-N113),O112))</f>
        <v>748.6477272887904</v>
      </c>
      <c r="P113" s="25">
        <f>N113*D113/12</f>
        <v>342.1454670653993</v>
      </c>
      <c r="Q113" s="25">
        <f>IF(N113&lt;=0.005,0,MIN(N113,O113-P113))</f>
        <v>406.5022602233911</v>
      </c>
      <c r="R113" s="25">
        <f>MAX(0,N113-Q113)</f>
        <v>141170.93238752807</v>
      </c>
    </row>
    <row r="114" spans="2:18" ht="18" customHeight="1">
      <c r="B114" s="21">
        <f>ROW()-5</f>
        <v>109</v>
      </c>
      <c r="C114" s="22">
        <f>EDATE(Hipoteca!$C$7,B114-1)</f>
        <v>49614.0</v>
      </c>
      <c r="D114" s="23">
        <f>IFERROR(LOOKUP(2,1/((Hipoteca!$E$4:$E$9&lt;&gt;"")*(Hipoteca!$E$4:$E$9&lt;=C114)),Hipoteca!$F$4:$F$9),Hipoteca!$C$6)</f>
        <v>0.029</v>
      </c>
      <c r="E114" s="24">
        <f>J113</f>
        <v>122846.08305429372</v>
      </c>
      <c r="F114" s="24">
        <f>IF(E114&lt;=0.005,0,MIN(E114*(1+D114/12),IF(OR(Hipoteca!$C$8="Reducir cuota",D114&lt;&gt;D113),PMT(D114/12,K114,-E114),F113)))</f>
        <v>746.6003367545769</v>
      </c>
      <c r="G114" s="24">
        <f>E114*D114/12</f>
        <v>296.8780340478765</v>
      </c>
      <c r="H114" s="24">
        <f>IF(E114&lt;=0.005,0,MIN(E114,F114-G114))</f>
        <v>449.7223027067004</v>
      </c>
      <c r="I114" s="24">
        <f>MIN(E114-H114,SUMPRODUCT((YEAR(Hipoteca!$H$4:$H$15)=YEAR(C114))*(MONTH(Hipoteca!$H$4:$H$15)=MONTH(C114))*(Hipoteca!$H$4:$H$15&lt;&gt;"")*Hipoteca!$I$4:$I$15))</f>
        <v>0</v>
      </c>
      <c r="J114" s="24">
        <f>MAX(0,E114-H114-I114)</f>
        <v>122396.36075158702</v>
      </c>
      <c r="K114" s="21">
        <f>IF(E114&lt;=0.005,0,IF(Hipoteca!$C$8="Reducir cuota",$K$6-(B114-1),IFERROR(MAX(1,ROUNDUP(NPER(D113/12,-F113,E114),0)),$K$6-(B114-1))))</f>
        <v>211</v>
      </c>
      <c r="L114" s="21">
        <f>YEAR(C114)</f>
        <v>2035</v>
      </c>
      <c r="N114" s="25">
        <f>R113</f>
        <v>141170.93238752807</v>
      </c>
      <c r="O114" s="25">
        <f>IF(N114&lt;=0.005,0,IF(D114&lt;&gt;D113,PMT(D114/12,Hipoteca!$C$5*12-(B114-1),-N114),O113))</f>
        <v>748.6477272887904</v>
      </c>
      <c r="P114" s="25">
        <f>N114*D114/12</f>
        <v>341.1630866031929</v>
      </c>
      <c r="Q114" s="25">
        <f>IF(N114&lt;=0.005,0,MIN(N114,O114-P114))</f>
        <v>407.4846406855975</v>
      </c>
      <c r="R114" s="25">
        <f>MAX(0,N114-Q114)</f>
        <v>140763.44774684246</v>
      </c>
    </row>
    <row r="115" spans="2:18" ht="18" customHeight="1">
      <c r="B115" s="21">
        <f>ROW()-5</f>
        <v>110</v>
      </c>
      <c r="C115" s="22">
        <f>EDATE(Hipoteca!$C$7,B115-1)</f>
        <v>49644.0</v>
      </c>
      <c r="D115" s="23">
        <f>IFERROR(LOOKUP(2,1/((Hipoteca!$E$4:$E$9&lt;&gt;"")*(Hipoteca!$E$4:$E$9&lt;=C115)),Hipoteca!$F$4:$F$9),Hipoteca!$C$6)</f>
        <v>0.029</v>
      </c>
      <c r="E115" s="24">
        <f>J114</f>
        <v>122396.36075158702</v>
      </c>
      <c r="F115" s="24">
        <f>IF(E115&lt;=0.005,0,MIN(E115*(1+D115/12),IF(OR(Hipoteca!$C$8="Reducir cuota",D115&lt;&gt;D114),PMT(D115/12,K115,-E115),F114)))</f>
        <v>746.6003367545769</v>
      </c>
      <c r="G115" s="24">
        <f>E115*D115/12</f>
        <v>295.79120514966866</v>
      </c>
      <c r="H115" s="24">
        <f>IF(E115&lt;=0.005,0,MIN(E115,F115-G115))</f>
        <v>450.80913160490826</v>
      </c>
      <c r="I115" s="24">
        <f>MIN(E115-H115,SUMPRODUCT((YEAR(Hipoteca!$H$4:$H$15)=YEAR(C115))*(MONTH(Hipoteca!$H$4:$H$15)=MONTH(C115))*(Hipoteca!$H$4:$H$15&lt;&gt;"")*Hipoteca!$I$4:$I$15))</f>
        <v>0</v>
      </c>
      <c r="J115" s="24">
        <f>MAX(0,E115-H115-I115)</f>
        <v>121945.55161998211</v>
      </c>
      <c r="K115" s="21">
        <f>IF(E115&lt;=0.005,0,IF(Hipoteca!$C$8="Reducir cuota",$K$6-(B115-1),IFERROR(MAX(1,ROUNDUP(NPER(D114/12,-F114,E115),0)),$K$6-(B115-1))))</f>
        <v>210</v>
      </c>
      <c r="L115" s="21">
        <f>YEAR(C115)</f>
        <v>2035</v>
      </c>
      <c r="N115" s="25">
        <f>R114</f>
        <v>140763.44774684246</v>
      </c>
      <c r="O115" s="25">
        <f>IF(N115&lt;=0.005,0,IF(D115&lt;&gt;D114,PMT(D115/12,Hipoteca!$C$5*12-(B115-1),-N115),O114))</f>
        <v>748.6477272887904</v>
      </c>
      <c r="P115" s="25">
        <f>N115*D115/12</f>
        <v>340.17833205486926</v>
      </c>
      <c r="Q115" s="25">
        <f>IF(N115&lt;=0.005,0,MIN(N115,O115-P115))</f>
        <v>408.46939523392115</v>
      </c>
      <c r="R115" s="25">
        <f>MAX(0,N115-Q115)</f>
        <v>140354.97835160853</v>
      </c>
    </row>
    <row r="116" spans="2:18" ht="18" customHeight="1">
      <c r="B116" s="21">
        <f>ROW()-5</f>
        <v>111</v>
      </c>
      <c r="C116" s="22">
        <f>EDATE(Hipoteca!$C$7,B116-1)</f>
        <v>49675.0</v>
      </c>
      <c r="D116" s="23">
        <f>IFERROR(LOOKUP(2,1/((Hipoteca!$E$4:$E$9&lt;&gt;"")*(Hipoteca!$E$4:$E$9&lt;=C116)),Hipoteca!$F$4:$F$9),Hipoteca!$C$6)</f>
        <v>0.029</v>
      </c>
      <c r="E116" s="24">
        <f>J115</f>
        <v>121945.55161998211</v>
      </c>
      <c r="F116" s="24">
        <f>IF(E116&lt;=0.005,0,MIN(E116*(1+D116/12),IF(OR(Hipoteca!$C$8="Reducir cuota",D116&lt;&gt;D115),PMT(D116/12,K116,-E116),F115)))</f>
        <v>746.6003367545769</v>
      </c>
      <c r="G116" s="24">
        <f>E116*D116/12</f>
        <v>294.7017497482901</v>
      </c>
      <c r="H116" s="24">
        <f>IF(E116&lt;=0.005,0,MIN(E116,F116-G116))</f>
        <v>451.8985870062868</v>
      </c>
      <c r="I116" s="24">
        <f>MIN(E116-H116,SUMPRODUCT((YEAR(Hipoteca!$H$4:$H$15)=YEAR(C116))*(MONTH(Hipoteca!$H$4:$H$15)=MONTH(C116))*(Hipoteca!$H$4:$H$15&lt;&gt;"")*Hipoteca!$I$4:$I$15))</f>
        <v>0</v>
      </c>
      <c r="J116" s="24">
        <f>MAX(0,E116-H116-I116)</f>
        <v>121493.65303297582</v>
      </c>
      <c r="K116" s="21">
        <f>IF(E116&lt;=0.005,0,IF(Hipoteca!$C$8="Reducir cuota",$K$6-(B116-1),IFERROR(MAX(1,ROUNDUP(NPER(D115/12,-F115,E116),0)),$K$6-(B116-1))))</f>
        <v>209</v>
      </c>
      <c r="L116" s="21">
        <f>YEAR(C116)</f>
        <v>2036</v>
      </c>
      <c r="N116" s="25">
        <f>R115</f>
        <v>140354.97835160853</v>
      </c>
      <c r="O116" s="25">
        <f>IF(N116&lt;=0.005,0,IF(D116&lt;&gt;D115,PMT(D116/12,Hipoteca!$C$5*12-(B116-1),-N116),O115))</f>
        <v>748.6477272887904</v>
      </c>
      <c r="P116" s="25">
        <f>N116*D116/12</f>
        <v>339.191197683054</v>
      </c>
      <c r="Q116" s="25">
        <f>IF(N116&lt;=0.005,0,MIN(N116,O116-P116))</f>
        <v>409.4565296057364</v>
      </c>
      <c r="R116" s="25">
        <f>MAX(0,N116-Q116)</f>
        <v>139945.5218220028</v>
      </c>
    </row>
    <row r="117" spans="2:18" ht="18" customHeight="1">
      <c r="B117" s="21">
        <f>ROW()-5</f>
        <v>112</v>
      </c>
      <c r="C117" s="22">
        <f>EDATE(Hipoteca!$C$7,B117-1)</f>
        <v>49706.0</v>
      </c>
      <c r="D117" s="23">
        <f>IFERROR(LOOKUP(2,1/((Hipoteca!$E$4:$E$9&lt;&gt;"")*(Hipoteca!$E$4:$E$9&lt;=C117)),Hipoteca!$F$4:$F$9),Hipoteca!$C$6)</f>
        <v>0.029</v>
      </c>
      <c r="E117" s="24">
        <f>J116</f>
        <v>121493.65303297582</v>
      </c>
      <c r="F117" s="24">
        <f>IF(E117&lt;=0.005,0,MIN(E117*(1+D117/12),IF(OR(Hipoteca!$C$8="Reducir cuota",D117&lt;&gt;D116),PMT(D117/12,K117,-E117),F116)))</f>
        <v>746.6003367545769</v>
      </c>
      <c r="G117" s="24">
        <f>E117*D117/12</f>
        <v>293.6096614963582</v>
      </c>
      <c r="H117" s="24">
        <f>IF(E117&lt;=0.005,0,MIN(E117,F117-G117))</f>
        <v>452.9906752582187</v>
      </c>
      <c r="I117" s="24">
        <f>MIN(E117-H117,SUMPRODUCT((YEAR(Hipoteca!$H$4:$H$15)=YEAR(C117))*(MONTH(Hipoteca!$H$4:$H$15)=MONTH(C117))*(Hipoteca!$H$4:$H$15&lt;&gt;"")*Hipoteca!$I$4:$I$15))</f>
        <v>0</v>
      </c>
      <c r="J117" s="24">
        <f>MAX(0,E117-H117-I117)</f>
        <v>121040.6623577176</v>
      </c>
      <c r="K117" s="21">
        <f>IF(E117&lt;=0.005,0,IF(Hipoteca!$C$8="Reducir cuota",$K$6-(B117-1),IFERROR(MAX(1,ROUNDUP(NPER(D116/12,-F116,E117),0)),$K$6-(B117-1))))</f>
        <v>208</v>
      </c>
      <c r="L117" s="21">
        <f>YEAR(C117)</f>
        <v>2036</v>
      </c>
      <c r="N117" s="25">
        <f>R116</f>
        <v>139945.5218220028</v>
      </c>
      <c r="O117" s="25">
        <f>IF(N117&lt;=0.005,0,IF(D117&lt;&gt;D116,PMT(D117/12,Hipoteca!$C$5*12-(B117-1),-N117),O116))</f>
        <v>748.6477272887904</v>
      </c>
      <c r="P117" s="25">
        <f>N117*D117/12</f>
        <v>338.2016777365068</v>
      </c>
      <c r="Q117" s="25">
        <f>IF(N117&lt;=0.005,0,MIN(N117,O117-P117))</f>
        <v>410.4460495522836</v>
      </c>
      <c r="R117" s="25">
        <f>MAX(0,N117-Q117)</f>
        <v>139535.0757724505</v>
      </c>
    </row>
    <row r="118" spans="2:18" ht="18" customHeight="1">
      <c r="B118" s="21">
        <f>ROW()-5</f>
        <v>113</v>
      </c>
      <c r="C118" s="22">
        <f>EDATE(Hipoteca!$C$7,B118-1)</f>
        <v>49735.0</v>
      </c>
      <c r="D118" s="23">
        <f>IFERROR(LOOKUP(2,1/((Hipoteca!$E$4:$E$9&lt;&gt;"")*(Hipoteca!$E$4:$E$9&lt;=C118)),Hipoteca!$F$4:$F$9),Hipoteca!$C$6)</f>
        <v>0.029</v>
      </c>
      <c r="E118" s="24">
        <f>J117</f>
        <v>121040.6623577176</v>
      </c>
      <c r="F118" s="24">
        <f>IF(E118&lt;=0.005,0,MIN(E118*(1+D118/12),IF(OR(Hipoteca!$C$8="Reducir cuota",D118&lt;&gt;D117),PMT(D118/12,K118,-E118),F117)))</f>
        <v>746.6003367545769</v>
      </c>
      <c r="G118" s="24">
        <f>E118*D118/12</f>
        <v>292.5149340311509</v>
      </c>
      <c r="H118" s="24">
        <f>IF(E118&lt;=0.005,0,MIN(E118,F118-G118))</f>
        <v>454.085402723426</v>
      </c>
      <c r="I118" s="24">
        <f>MIN(E118-H118,SUMPRODUCT((YEAR(Hipoteca!$H$4:$H$15)=YEAR(C118))*(MONTH(Hipoteca!$H$4:$H$15)=MONTH(C118))*(Hipoteca!$H$4:$H$15&lt;&gt;"")*Hipoteca!$I$4:$I$15))</f>
        <v>0</v>
      </c>
      <c r="J118" s="24">
        <f>MAX(0,E118-H118-I118)</f>
        <v>120586.57695499418</v>
      </c>
      <c r="K118" s="21">
        <f>IF(E118&lt;=0.005,0,IF(Hipoteca!$C$8="Reducir cuota",$K$6-(B118-1),IFERROR(MAX(1,ROUNDUP(NPER(D117/12,-F117,E118),0)),$K$6-(B118-1))))</f>
        <v>207</v>
      </c>
      <c r="L118" s="21">
        <f>YEAR(C118)</f>
        <v>2036</v>
      </c>
      <c r="N118" s="25">
        <f>R117</f>
        <v>139535.0757724505</v>
      </c>
      <c r="O118" s="25">
        <f>IF(N118&lt;=0.005,0,IF(D118&lt;&gt;D117,PMT(D118/12,Hipoteca!$C$5*12-(B118-1),-N118),O117))</f>
        <v>748.6477272887904</v>
      </c>
      <c r="P118" s="25">
        <f>N118*D118/12</f>
        <v>337.20976645008875</v>
      </c>
      <c r="Q118" s="25">
        <f>IF(N118&lt;=0.005,0,MIN(N118,O118-P118))</f>
        <v>411.43796083870166</v>
      </c>
      <c r="R118" s="25">
        <f>MAX(0,N118-Q118)</f>
        <v>139123.6378116118</v>
      </c>
    </row>
    <row r="119" spans="2:18" ht="18" customHeight="1">
      <c r="B119" s="21">
        <f>ROW()-5</f>
        <v>114</v>
      </c>
      <c r="C119" s="22">
        <f>EDATE(Hipoteca!$C$7,B119-1)</f>
        <v>49766.0</v>
      </c>
      <c r="D119" s="23">
        <f>IFERROR(LOOKUP(2,1/((Hipoteca!$E$4:$E$9&lt;&gt;"")*(Hipoteca!$E$4:$E$9&lt;=C119)),Hipoteca!$F$4:$F$9),Hipoteca!$C$6)</f>
        <v>0.029</v>
      </c>
      <c r="E119" s="24">
        <f>J118</f>
        <v>120586.57695499418</v>
      </c>
      <c r="F119" s="24">
        <f>IF(E119&lt;=0.005,0,MIN(E119*(1+D119/12),IF(OR(Hipoteca!$C$8="Reducir cuota",D119&lt;&gt;D118),PMT(D119/12,K119,-E119),F118)))</f>
        <v>746.6003367545769</v>
      </c>
      <c r="G119" s="24">
        <f>E119*D119/12</f>
        <v>291.41756097456926</v>
      </c>
      <c r="H119" s="24">
        <f>IF(E119&lt;=0.005,0,MIN(E119,F119-G119))</f>
        <v>455.18277578000766</v>
      </c>
      <c r="I119" s="24">
        <f>MIN(E119-H119,SUMPRODUCT((YEAR(Hipoteca!$H$4:$H$15)=YEAR(C119))*(MONTH(Hipoteca!$H$4:$H$15)=MONTH(C119))*(Hipoteca!$H$4:$H$15&lt;&gt;"")*Hipoteca!$I$4:$I$15))</f>
        <v>0</v>
      </c>
      <c r="J119" s="24">
        <f>MAX(0,E119-H119-I119)</f>
        <v>120131.39417921417</v>
      </c>
      <c r="K119" s="21">
        <f>IF(E119&lt;=0.005,0,IF(Hipoteca!$C$8="Reducir cuota",$K$6-(B119-1),IFERROR(MAX(1,ROUNDUP(NPER(D118/12,-F118,E119),0)),$K$6-(B119-1))))</f>
        <v>206</v>
      </c>
      <c r="L119" s="21">
        <f>YEAR(C119)</f>
        <v>2036</v>
      </c>
      <c r="N119" s="25">
        <f>R118</f>
        <v>139123.6378116118</v>
      </c>
      <c r="O119" s="25">
        <f>IF(N119&lt;=0.005,0,IF(D119&lt;&gt;D118,PMT(D119/12,Hipoteca!$C$5*12-(B119-1),-N119),O118))</f>
        <v>748.6477272887904</v>
      </c>
      <c r="P119" s="25">
        <f>N119*D119/12</f>
        <v>336.21545804472856</v>
      </c>
      <c r="Q119" s="25">
        <f>IF(N119&lt;=0.005,0,MIN(N119,O119-P119))</f>
        <v>412.43226924406184</v>
      </c>
      <c r="R119" s="25">
        <f>MAX(0,N119-Q119)</f>
        <v>138711.20554236777</v>
      </c>
    </row>
    <row r="120" spans="2:18" ht="18" customHeight="1">
      <c r="B120" s="21">
        <f>ROW()-5</f>
        <v>115</v>
      </c>
      <c r="C120" s="22">
        <f>EDATE(Hipoteca!$C$7,B120-1)</f>
        <v>49796.0</v>
      </c>
      <c r="D120" s="23">
        <f>IFERROR(LOOKUP(2,1/((Hipoteca!$E$4:$E$9&lt;&gt;"")*(Hipoteca!$E$4:$E$9&lt;=C120)),Hipoteca!$F$4:$F$9),Hipoteca!$C$6)</f>
        <v>0.029</v>
      </c>
      <c r="E120" s="24">
        <f>J119</f>
        <v>120131.39417921417</v>
      </c>
      <c r="F120" s="24">
        <f>IF(E120&lt;=0.005,0,MIN(E120*(1+D120/12),IF(OR(Hipoteca!$C$8="Reducir cuota",D120&lt;&gt;D119),PMT(D120/12,K120,-E120),F119)))</f>
        <v>746.6003367545769</v>
      </c>
      <c r="G120" s="24">
        <f>E120*D120/12</f>
        <v>290.31753593310094</v>
      </c>
      <c r="H120" s="24">
        <f>IF(E120&lt;=0.005,0,MIN(E120,F120-G120))</f>
        <v>456.282800821476</v>
      </c>
      <c r="I120" s="24">
        <f>MIN(E120-H120,SUMPRODUCT((YEAR(Hipoteca!$H$4:$H$15)=YEAR(C120))*(MONTH(Hipoteca!$H$4:$H$15)=MONTH(C120))*(Hipoteca!$H$4:$H$15&lt;&gt;"")*Hipoteca!$I$4:$I$15))</f>
        <v>0</v>
      </c>
      <c r="J120" s="24">
        <f>MAX(0,E120-H120-I120)</f>
        <v>119675.1113783927</v>
      </c>
      <c r="K120" s="21">
        <f>IF(E120&lt;=0.005,0,IF(Hipoteca!$C$8="Reducir cuota",$K$6-(B120-1),IFERROR(MAX(1,ROUNDUP(NPER(D119/12,-F119,E120),0)),$K$6-(B120-1))))</f>
        <v>205</v>
      </c>
      <c r="L120" s="21">
        <f>YEAR(C120)</f>
        <v>2036</v>
      </c>
      <c r="N120" s="25">
        <f>R119</f>
        <v>138711.20554236777</v>
      </c>
      <c r="O120" s="25">
        <f>IF(N120&lt;=0.005,0,IF(D120&lt;&gt;D119,PMT(D120/12,Hipoteca!$C$5*12-(B120-1),-N120),O119))</f>
        <v>748.6477272887904</v>
      </c>
      <c r="P120" s="25">
        <f>N120*D120/12</f>
        <v>335.2187467273888</v>
      </c>
      <c r="Q120" s="25">
        <f>IF(N120&lt;=0.005,0,MIN(N120,O120-P120))</f>
        <v>413.4289805614016</v>
      </c>
      <c r="R120" s="25">
        <f>MAX(0,N120-Q120)</f>
        <v>138297.77656180636</v>
      </c>
    </row>
    <row r="121" spans="2:18" ht="18" customHeight="1">
      <c r="B121" s="21">
        <f>ROW()-5</f>
        <v>116</v>
      </c>
      <c r="C121" s="22">
        <f>EDATE(Hipoteca!$C$7,B121-1)</f>
        <v>49827.0</v>
      </c>
      <c r="D121" s="23">
        <f>IFERROR(LOOKUP(2,1/((Hipoteca!$E$4:$E$9&lt;&gt;"")*(Hipoteca!$E$4:$E$9&lt;=C121)),Hipoteca!$F$4:$F$9),Hipoteca!$C$6)</f>
        <v>0.029</v>
      </c>
      <c r="E121" s="24">
        <f>J120</f>
        <v>119675.1113783927</v>
      </c>
      <c r="F121" s="24">
        <f>IF(E121&lt;=0.005,0,MIN(E121*(1+D121/12),IF(OR(Hipoteca!$C$8="Reducir cuota",D121&lt;&gt;D120),PMT(D121/12,K121,-E121),F120)))</f>
        <v>746.6003367545769</v>
      </c>
      <c r="G121" s="24">
        <f>E121*D121/12</f>
        <v>289.2148524977824</v>
      </c>
      <c r="H121" s="24">
        <f>IF(E121&lt;=0.005,0,MIN(E121,F121-G121))</f>
        <v>457.38548425679454</v>
      </c>
      <c r="I121" s="24">
        <f>MIN(E121-H121,SUMPRODUCT((YEAR(Hipoteca!$H$4:$H$15)=YEAR(C121))*(MONTH(Hipoteca!$H$4:$H$15)=MONTH(C121))*(Hipoteca!$H$4:$H$15&lt;&gt;"")*Hipoteca!$I$4:$I$15))</f>
        <v>0</v>
      </c>
      <c r="J121" s="24">
        <f>MAX(0,E121-H121-I121)</f>
        <v>119217.7258941359</v>
      </c>
      <c r="K121" s="21">
        <f>IF(E121&lt;=0.005,0,IF(Hipoteca!$C$8="Reducir cuota",$K$6-(B121-1),IFERROR(MAX(1,ROUNDUP(NPER(D120/12,-F120,E121),0)),$K$6-(B121-1))))</f>
        <v>204</v>
      </c>
      <c r="L121" s="21">
        <f>YEAR(C121)</f>
        <v>2036</v>
      </c>
      <c r="N121" s="25">
        <f>R120</f>
        <v>138297.77656180636</v>
      </c>
      <c r="O121" s="25">
        <f>IF(N121&lt;=0.005,0,IF(D121&lt;&gt;D120,PMT(D121/12,Hipoteca!$C$5*12-(B121-1),-N121),O120))</f>
        <v>748.6477272887904</v>
      </c>
      <c r="P121" s="25">
        <f>N121*D121/12</f>
        <v>334.21962669103203</v>
      </c>
      <c r="Q121" s="25">
        <f>IF(N121&lt;=0.005,0,MIN(N121,O121-P121))</f>
        <v>414.4281005977584</v>
      </c>
      <c r="R121" s="25">
        <f>MAX(0,N121-Q121)</f>
        <v>137883.3484612086</v>
      </c>
    </row>
    <row r="122" spans="2:18" ht="18" customHeight="1">
      <c r="B122" s="21">
        <f>ROW()-5</f>
        <v>117</v>
      </c>
      <c r="C122" s="22">
        <f>EDATE(Hipoteca!$C$7,B122-1)</f>
        <v>49857.0</v>
      </c>
      <c r="D122" s="23">
        <f>IFERROR(LOOKUP(2,1/((Hipoteca!$E$4:$E$9&lt;&gt;"")*(Hipoteca!$E$4:$E$9&lt;=C122)),Hipoteca!$F$4:$F$9),Hipoteca!$C$6)</f>
        <v>0.029</v>
      </c>
      <c r="E122" s="24">
        <f>J121</f>
        <v>119217.7258941359</v>
      </c>
      <c r="F122" s="24">
        <f>IF(E122&lt;=0.005,0,MIN(E122*(1+D122/12),IF(OR(Hipoteca!$C$8="Reducir cuota",D122&lt;&gt;D121),PMT(D122/12,K122,-E122),F121)))</f>
        <v>746.6003367545769</v>
      </c>
      <c r="G122" s="24">
        <f>E122*D122/12</f>
        <v>288.10950424416177</v>
      </c>
      <c r="H122" s="24">
        <f>IF(E122&lt;=0.005,0,MIN(E122,F122-G122))</f>
        <v>458.49083251041515</v>
      </c>
      <c r="I122" s="24">
        <f>MIN(E122-H122,SUMPRODUCT((YEAR(Hipoteca!$H$4:$H$15)=YEAR(C122))*(MONTH(Hipoteca!$H$4:$H$15)=MONTH(C122))*(Hipoteca!$H$4:$H$15&lt;&gt;"")*Hipoteca!$I$4:$I$15))</f>
        <v>0</v>
      </c>
      <c r="J122" s="24">
        <f>MAX(0,E122-H122-I122)</f>
        <v>118759.23506162548</v>
      </c>
      <c r="K122" s="21">
        <f>IF(E122&lt;=0.005,0,IF(Hipoteca!$C$8="Reducir cuota",$K$6-(B122-1),IFERROR(MAX(1,ROUNDUP(NPER(D121/12,-F121,E122),0)),$K$6-(B122-1))))</f>
        <v>203</v>
      </c>
      <c r="L122" s="21">
        <f>YEAR(C122)</f>
        <v>2036</v>
      </c>
      <c r="N122" s="25">
        <f>R121</f>
        <v>137883.3484612086</v>
      </c>
      <c r="O122" s="25">
        <f>IF(N122&lt;=0.005,0,IF(D122&lt;&gt;D121,PMT(D122/12,Hipoteca!$C$5*12-(B122-1),-N122),O121))</f>
        <v>748.6477272887904</v>
      </c>
      <c r="P122" s="25">
        <f>N122*D122/12</f>
        <v>333.2180921145875</v>
      </c>
      <c r="Q122" s="25">
        <f>IF(N122&lt;=0.005,0,MIN(N122,O122-P122))</f>
        <v>415.42963517420293</v>
      </c>
      <c r="R122" s="25">
        <f>MAX(0,N122-Q122)</f>
        <v>137467.9188260344</v>
      </c>
    </row>
    <row r="123" spans="2:18" ht="18" customHeight="1">
      <c r="B123" s="21">
        <f>ROW()-5</f>
        <v>118</v>
      </c>
      <c r="C123" s="22">
        <f>EDATE(Hipoteca!$C$7,B123-1)</f>
        <v>49888.0</v>
      </c>
      <c r="D123" s="23">
        <f>IFERROR(LOOKUP(2,1/((Hipoteca!$E$4:$E$9&lt;&gt;"")*(Hipoteca!$E$4:$E$9&lt;=C123)),Hipoteca!$F$4:$F$9),Hipoteca!$C$6)</f>
        <v>0.029</v>
      </c>
      <c r="E123" s="24">
        <f>J122</f>
        <v>118759.23506162548</v>
      </c>
      <c r="F123" s="24">
        <f>IF(E123&lt;=0.005,0,MIN(E123*(1+D123/12),IF(OR(Hipoteca!$C$8="Reducir cuota",D123&lt;&gt;D122),PMT(D123/12,K123,-E123),F122)))</f>
        <v>746.6003367545769</v>
      </c>
      <c r="G123" s="24">
        <f>E123*D123/12</f>
        <v>287.0014847322616</v>
      </c>
      <c r="H123" s="24">
        <f>IF(E123&lt;=0.005,0,MIN(E123,F123-G123))</f>
        <v>459.5988520223153</v>
      </c>
      <c r="I123" s="24">
        <f>MIN(E123-H123,SUMPRODUCT((YEAR(Hipoteca!$H$4:$H$15)=YEAR(C123))*(MONTH(Hipoteca!$H$4:$H$15)=MONTH(C123))*(Hipoteca!$H$4:$H$15&lt;&gt;"")*Hipoteca!$I$4:$I$15))</f>
        <v>0</v>
      </c>
      <c r="J123" s="24">
        <f>MAX(0,E123-H123-I123)</f>
        <v>118299.63620960317</v>
      </c>
      <c r="K123" s="21">
        <f>IF(E123&lt;=0.005,0,IF(Hipoteca!$C$8="Reducir cuota",$K$6-(B123-1),IFERROR(MAX(1,ROUNDUP(NPER(D122/12,-F122,E123),0)),$K$6-(B123-1))))</f>
        <v>202</v>
      </c>
      <c r="L123" s="21">
        <f>YEAR(C123)</f>
        <v>2036</v>
      </c>
      <c r="N123" s="25">
        <f>R122</f>
        <v>137467.9188260344</v>
      </c>
      <c r="O123" s="25">
        <f>IF(N123&lt;=0.005,0,IF(D123&lt;&gt;D122,PMT(D123/12,Hipoteca!$C$5*12-(B123-1),-N123),O122))</f>
        <v>748.6477272887904</v>
      </c>
      <c r="P123" s="25">
        <f>N123*D123/12</f>
        <v>332.21413716291653</v>
      </c>
      <c r="Q123" s="25">
        <f>IF(N123&lt;=0.005,0,MIN(N123,O123-P123))</f>
        <v>416.4335901258739</v>
      </c>
      <c r="R123" s="25">
        <f>MAX(0,N123-Q123)</f>
        <v>137051.48523590853</v>
      </c>
    </row>
    <row r="124" spans="2:18" ht="18" customHeight="1">
      <c r="B124" s="21">
        <f>ROW()-5</f>
        <v>119</v>
      </c>
      <c r="C124" s="22">
        <f>EDATE(Hipoteca!$C$7,B124-1)</f>
        <v>49919.0</v>
      </c>
      <c r="D124" s="23">
        <f>IFERROR(LOOKUP(2,1/((Hipoteca!$E$4:$E$9&lt;&gt;"")*(Hipoteca!$E$4:$E$9&lt;=C124)),Hipoteca!$F$4:$F$9),Hipoteca!$C$6)</f>
        <v>0.029</v>
      </c>
      <c r="E124" s="24">
        <f>J123</f>
        <v>118299.63620960317</v>
      </c>
      <c r="F124" s="24">
        <f>IF(E124&lt;=0.005,0,MIN(E124*(1+D124/12),IF(OR(Hipoteca!$C$8="Reducir cuota",D124&lt;&gt;D123),PMT(D124/12,K124,-E124),F123)))</f>
        <v>746.6003367545769</v>
      </c>
      <c r="G124" s="24">
        <f>E124*D124/12</f>
        <v>285.890787506541</v>
      </c>
      <c r="H124" s="24">
        <f>IF(E124&lt;=0.005,0,MIN(E124,F124-G124))</f>
        <v>460.7095492480359</v>
      </c>
      <c r="I124" s="24">
        <f>MIN(E124-H124,SUMPRODUCT((YEAR(Hipoteca!$H$4:$H$15)=YEAR(C124))*(MONTH(Hipoteca!$H$4:$H$15)=MONTH(C124))*(Hipoteca!$H$4:$H$15&lt;&gt;"")*Hipoteca!$I$4:$I$15))</f>
        <v>0</v>
      </c>
      <c r="J124" s="24">
        <f>MAX(0,E124-H124-I124)</f>
        <v>117838.92666035514</v>
      </c>
      <c r="K124" s="21">
        <f>IF(E124&lt;=0.005,0,IF(Hipoteca!$C$8="Reducir cuota",$K$6-(B124-1),IFERROR(MAX(1,ROUNDUP(NPER(D123/12,-F123,E124),0)),$K$6-(B124-1))))</f>
        <v>201</v>
      </c>
      <c r="L124" s="21">
        <f>YEAR(C124)</f>
        <v>2036</v>
      </c>
      <c r="N124" s="25">
        <f>R123</f>
        <v>137051.48523590853</v>
      </c>
      <c r="O124" s="25">
        <f>IF(N124&lt;=0.005,0,IF(D124&lt;&gt;D123,PMT(D124/12,Hipoteca!$C$5*12-(B124-1),-N124),O123))</f>
        <v>748.6477272887904</v>
      </c>
      <c r="P124" s="25">
        <f>N124*D124/12</f>
        <v>331.207755986779</v>
      </c>
      <c r="Q124" s="25">
        <f>IF(N124&lt;=0.005,0,MIN(N124,O124-P124))</f>
        <v>417.43997130201143</v>
      </c>
      <c r="R124" s="25">
        <f>MAX(0,N124-Q124)</f>
        <v>136634.0452646065</v>
      </c>
    </row>
    <row r="125" spans="2:18" ht="18" customHeight="1">
      <c r="B125" s="21">
        <f>ROW()-5</f>
        <v>120</v>
      </c>
      <c r="C125" s="22">
        <f>EDATE(Hipoteca!$C$7,B125-1)</f>
        <v>49949.0</v>
      </c>
      <c r="D125" s="23">
        <f>IFERROR(LOOKUP(2,1/((Hipoteca!$E$4:$E$9&lt;&gt;"")*(Hipoteca!$E$4:$E$9&lt;=C125)),Hipoteca!$F$4:$F$9),Hipoteca!$C$6)</f>
        <v>0.029</v>
      </c>
      <c r="E125" s="24">
        <f>J124</f>
        <v>117838.92666035514</v>
      </c>
      <c r="F125" s="24">
        <f>IF(E125&lt;=0.005,0,MIN(E125*(1+D125/12),IF(OR(Hipoteca!$C$8="Reducir cuota",D125&lt;&gt;D124),PMT(D125/12,K125,-E125),F124)))</f>
        <v>746.6003367545769</v>
      </c>
      <c r="G125" s="24">
        <f>E125*D125/12</f>
        <v>284.7774060958582</v>
      </c>
      <c r="H125" s="24">
        <f>IF(E125&lt;=0.005,0,MIN(E125,F125-G125))</f>
        <v>461.8229306587187</v>
      </c>
      <c r="I125" s="24">
        <f>MIN(E125-H125,SUMPRODUCT((YEAR(Hipoteca!$H$4:$H$15)=YEAR(C125))*(MONTH(Hipoteca!$H$4:$H$15)=MONTH(C125))*(Hipoteca!$H$4:$H$15&lt;&gt;"")*Hipoteca!$I$4:$I$15))</f>
        <v>0</v>
      </c>
      <c r="J125" s="24">
        <f>MAX(0,E125-H125-I125)</f>
        <v>117377.10372969642</v>
      </c>
      <c r="K125" s="21">
        <f>IF(E125&lt;=0.005,0,IF(Hipoteca!$C$8="Reducir cuota",$K$6-(B125-1),IFERROR(MAX(1,ROUNDUP(NPER(D124/12,-F124,E125),0)),$K$6-(B125-1))))</f>
        <v>200</v>
      </c>
      <c r="L125" s="21">
        <f>YEAR(C125)</f>
        <v>2036</v>
      </c>
      <c r="N125" s="25">
        <f>R124</f>
        <v>136634.0452646065</v>
      </c>
      <c r="O125" s="25">
        <f>IF(N125&lt;=0.005,0,IF(D125&lt;&gt;D124,PMT(D125/12,Hipoteca!$C$5*12-(B125-1),-N125),O124))</f>
        <v>748.6477272887904</v>
      </c>
      <c r="P125" s="25">
        <f>N125*D125/12</f>
        <v>330.1989427227991</v>
      </c>
      <c r="Q125" s="25">
        <f>IF(N125&lt;=0.005,0,MIN(N125,O125-P125))</f>
        <v>418.44878456599133</v>
      </c>
      <c r="R125" s="25">
        <f>MAX(0,N125-Q125)</f>
        <v>136215.59648004052</v>
      </c>
    </row>
    <row r="126" spans="2:18" ht="18" customHeight="1">
      <c r="B126" s="21">
        <f>ROW()-5</f>
        <v>121</v>
      </c>
      <c r="C126" s="22">
        <f>EDATE(Hipoteca!$C$7,B126-1)</f>
        <v>49980.0</v>
      </c>
      <c r="D126" s="23">
        <f>IFERROR(LOOKUP(2,1/((Hipoteca!$E$4:$E$9&lt;&gt;"")*(Hipoteca!$E$4:$E$9&lt;=C126)),Hipoteca!$F$4:$F$9),Hipoteca!$C$6)</f>
        <v>0.029</v>
      </c>
      <c r="E126" s="24">
        <f>J125</f>
        <v>117377.10372969642</v>
      </c>
      <c r="F126" s="24">
        <f>IF(E126&lt;=0.005,0,MIN(E126*(1+D126/12),IF(OR(Hipoteca!$C$8="Reducir cuota",D126&lt;&gt;D125),PMT(D126/12,K126,-E126),F125)))</f>
        <v>746.6003367545769</v>
      </c>
      <c r="G126" s="24">
        <f>E126*D126/12</f>
        <v>283.661334013433</v>
      </c>
      <c r="H126" s="24">
        <f>IF(E126&lt;=0.005,0,MIN(E126,F126-G126))</f>
        <v>462.9390027411439</v>
      </c>
      <c r="I126" s="24">
        <f>MIN(E126-H126,SUMPRODUCT((YEAR(Hipoteca!$H$4:$H$15)=YEAR(C126))*(MONTH(Hipoteca!$H$4:$H$15)=MONTH(C126))*(Hipoteca!$H$4:$H$15&lt;&gt;"")*Hipoteca!$I$4:$I$15))</f>
        <v>0</v>
      </c>
      <c r="J126" s="24">
        <f>MAX(0,E126-H126-I126)</f>
        <v>116914.16472695528</v>
      </c>
      <c r="K126" s="21">
        <f>IF(E126&lt;=0.005,0,IF(Hipoteca!$C$8="Reducir cuota",$K$6-(B126-1),IFERROR(MAX(1,ROUNDUP(NPER(D125/12,-F125,E126),0)),$K$6-(B126-1))))</f>
        <v>199</v>
      </c>
      <c r="L126" s="21">
        <f>YEAR(C126)</f>
        <v>2036</v>
      </c>
      <c r="N126" s="25">
        <f>R125</f>
        <v>136215.59648004052</v>
      </c>
      <c r="O126" s="25">
        <f>IF(N126&lt;=0.005,0,IF(D126&lt;&gt;D125,PMT(D126/12,Hipoteca!$C$5*12-(B126-1),-N126),O125))</f>
        <v>748.6477272887904</v>
      </c>
      <c r="P126" s="25">
        <f>N126*D126/12</f>
        <v>329.18769149343126</v>
      </c>
      <c r="Q126" s="25">
        <f>IF(N126&lt;=0.005,0,MIN(N126,O126-P126))</f>
        <v>419.46003579535915</v>
      </c>
      <c r="R126" s="25">
        <f>MAX(0,N126-Q126)</f>
        <v>135796.13644424517</v>
      </c>
    </row>
    <row r="127" spans="2:18" ht="18" customHeight="1">
      <c r="B127" s="21">
        <f>ROW()-5</f>
        <v>122</v>
      </c>
      <c r="C127" s="22">
        <f>EDATE(Hipoteca!$C$7,B127-1)</f>
        <v>50010.0</v>
      </c>
      <c r="D127" s="23">
        <f>IFERROR(LOOKUP(2,1/((Hipoteca!$E$4:$E$9&lt;&gt;"")*(Hipoteca!$E$4:$E$9&lt;=C127)),Hipoteca!$F$4:$F$9),Hipoteca!$C$6)</f>
        <v>0.029</v>
      </c>
      <c r="E127" s="24">
        <f>J126</f>
        <v>116914.16472695528</v>
      </c>
      <c r="F127" s="24">
        <f>IF(E127&lt;=0.005,0,MIN(E127*(1+D127/12),IF(OR(Hipoteca!$C$8="Reducir cuota",D127&lt;&gt;D126),PMT(D127/12,K127,-E127),F126)))</f>
        <v>746.6003367545769</v>
      </c>
      <c r="G127" s="24">
        <f>E127*D127/12</f>
        <v>282.5425647568086</v>
      </c>
      <c r="H127" s="24">
        <f>IF(E127&lt;=0.005,0,MIN(E127,F127-G127))</f>
        <v>464.0577719977683</v>
      </c>
      <c r="I127" s="24">
        <f>MIN(E127-H127,SUMPRODUCT((YEAR(Hipoteca!$H$4:$H$15)=YEAR(C127))*(MONTH(Hipoteca!$H$4:$H$15)=MONTH(C127))*(Hipoteca!$H$4:$H$15&lt;&gt;"")*Hipoteca!$I$4:$I$15))</f>
        <v>0</v>
      </c>
      <c r="J127" s="24">
        <f>MAX(0,E127-H127-I127)</f>
        <v>116450.1069549575</v>
      </c>
      <c r="K127" s="21">
        <f>IF(E127&lt;=0.005,0,IF(Hipoteca!$C$8="Reducir cuota",$K$6-(B127-1),IFERROR(MAX(1,ROUNDUP(NPER(D126/12,-F126,E127),0)),$K$6-(B127-1))))</f>
        <v>198</v>
      </c>
      <c r="L127" s="21">
        <f>YEAR(C127)</f>
        <v>2036</v>
      </c>
      <c r="N127" s="25">
        <f>R126</f>
        <v>135796.13644424517</v>
      </c>
      <c r="O127" s="25">
        <f>IF(N127&lt;=0.005,0,IF(D127&lt;&gt;D126,PMT(D127/12,Hipoteca!$C$5*12-(B127-1),-N127),O126))</f>
        <v>748.6477272887904</v>
      </c>
      <c r="P127" s="25">
        <f>N127*D127/12</f>
        <v>328.1739964069258</v>
      </c>
      <c r="Q127" s="25">
        <f>IF(N127&lt;=0.005,0,MIN(N127,O127-P127))</f>
        <v>420.4737308818646</v>
      </c>
      <c r="R127" s="25">
        <f>MAX(0,N127-Q127)</f>
        <v>135375.6627133633</v>
      </c>
    </row>
    <row r="128" spans="2:18" ht="18" customHeight="1">
      <c r="B128" s="21">
        <f>ROW()-5</f>
        <v>123</v>
      </c>
      <c r="C128" s="22">
        <f>EDATE(Hipoteca!$C$7,B128-1)</f>
        <v>50041.0</v>
      </c>
      <c r="D128" s="23">
        <f>IFERROR(LOOKUP(2,1/((Hipoteca!$E$4:$E$9&lt;&gt;"")*(Hipoteca!$E$4:$E$9&lt;=C128)),Hipoteca!$F$4:$F$9),Hipoteca!$C$6)</f>
        <v>0.029</v>
      </c>
      <c r="E128" s="24">
        <f>J127</f>
        <v>116450.1069549575</v>
      </c>
      <c r="F128" s="24">
        <f>IF(E128&lt;=0.005,0,MIN(E128*(1+D128/12),IF(OR(Hipoteca!$C$8="Reducir cuota",D128&lt;&gt;D127),PMT(D128/12,K128,-E128),F127)))</f>
        <v>746.6003367545769</v>
      </c>
      <c r="G128" s="24">
        <f>E128*D128/12</f>
        <v>281.421091807814</v>
      </c>
      <c r="H128" s="24">
        <f>IF(E128&lt;=0.005,0,MIN(E128,F128-G128))</f>
        <v>465.17924494676294</v>
      </c>
      <c r="I128" s="24">
        <f>MIN(E128-H128,SUMPRODUCT((YEAR(Hipoteca!$H$4:$H$15)=YEAR(C128))*(MONTH(Hipoteca!$H$4:$H$15)=MONTH(C128))*(Hipoteca!$H$4:$H$15&lt;&gt;"")*Hipoteca!$I$4:$I$15))</f>
        <v>0</v>
      </c>
      <c r="J128" s="24">
        <f>MAX(0,E128-H128-I128)</f>
        <v>115984.92771001074</v>
      </c>
      <c r="K128" s="21">
        <f>IF(E128&lt;=0.005,0,IF(Hipoteca!$C$8="Reducir cuota",$K$6-(B128-1),IFERROR(MAX(1,ROUNDUP(NPER(D127/12,-F127,E128),0)),$K$6-(B128-1))))</f>
        <v>197</v>
      </c>
      <c r="L128" s="21">
        <f>YEAR(C128)</f>
        <v>2037</v>
      </c>
      <c r="N128" s="25">
        <f>R127</f>
        <v>135375.6627133633</v>
      </c>
      <c r="O128" s="25">
        <f>IF(N128&lt;=0.005,0,IF(D128&lt;&gt;D127,PMT(D128/12,Hipoteca!$C$5*12-(B128-1),-N128),O127))</f>
        <v>748.6477272887904</v>
      </c>
      <c r="P128" s="25">
        <f>N128*D128/12</f>
        <v>327.1578515572947</v>
      </c>
      <c r="Q128" s="25">
        <f>IF(N128&lt;=0.005,0,MIN(N128,O128-P128))</f>
        <v>421.4898757314957</v>
      </c>
      <c r="R128" s="25">
        <f>MAX(0,N128-Q128)</f>
        <v>134954.1728376318</v>
      </c>
    </row>
    <row r="129" spans="2:18" ht="18" customHeight="1">
      <c r="B129" s="21">
        <f>ROW()-5</f>
        <v>124</v>
      </c>
      <c r="C129" s="22">
        <f>EDATE(Hipoteca!$C$7,B129-1)</f>
        <v>50072.0</v>
      </c>
      <c r="D129" s="23">
        <f>IFERROR(LOOKUP(2,1/((Hipoteca!$E$4:$E$9&lt;&gt;"")*(Hipoteca!$E$4:$E$9&lt;=C129)),Hipoteca!$F$4:$F$9),Hipoteca!$C$6)</f>
        <v>0.029</v>
      </c>
      <c r="E129" s="24">
        <f>J128</f>
        <v>115984.92771001074</v>
      </c>
      <c r="F129" s="24">
        <f>IF(E129&lt;=0.005,0,MIN(E129*(1+D129/12),IF(OR(Hipoteca!$C$8="Reducir cuota",D129&lt;&gt;D128),PMT(D129/12,K129,-E129),F128)))</f>
        <v>746.6003367545769</v>
      </c>
      <c r="G129" s="24">
        <f>E129*D129/12</f>
        <v>280.29690863252597</v>
      </c>
      <c r="H129" s="24">
        <f>IF(E129&lt;=0.005,0,MIN(E129,F129-G129))</f>
        <v>466.30342812205095</v>
      </c>
      <c r="I129" s="24">
        <f>MIN(E129-H129,SUMPRODUCT((YEAR(Hipoteca!$H$4:$H$15)=YEAR(C129))*(MONTH(Hipoteca!$H$4:$H$15)=MONTH(C129))*(Hipoteca!$H$4:$H$15&lt;&gt;"")*Hipoteca!$I$4:$I$15))</f>
        <v>0</v>
      </c>
      <c r="J129" s="24">
        <f>MAX(0,E129-H129-I129)</f>
        <v>115518.6242818887</v>
      </c>
      <c r="K129" s="21">
        <f>IF(E129&lt;=0.005,0,IF(Hipoteca!$C$8="Reducir cuota",$K$6-(B129-1),IFERROR(MAX(1,ROUNDUP(NPER(D128/12,-F128,E129),0)),$K$6-(B129-1))))</f>
        <v>196</v>
      </c>
      <c r="L129" s="21">
        <f>YEAR(C129)</f>
        <v>2037</v>
      </c>
      <c r="N129" s="25">
        <f>R128</f>
        <v>134954.1728376318</v>
      </c>
      <c r="O129" s="25">
        <f>IF(N129&lt;=0.005,0,IF(D129&lt;&gt;D128,PMT(D129/12,Hipoteca!$C$5*12-(B129-1),-N129),O128))</f>
        <v>748.6477272887904</v>
      </c>
      <c r="P129" s="25">
        <f>N129*D129/12</f>
        <v>326.1392510242769</v>
      </c>
      <c r="Q129" s="25">
        <f>IF(N129&lt;=0.005,0,MIN(N129,O129-P129))</f>
        <v>422.5084762645135</v>
      </c>
      <c r="R129" s="25">
        <f>MAX(0,N129-Q129)</f>
        <v>134531.6643613673</v>
      </c>
    </row>
    <row r="130" spans="2:18" ht="18" customHeight="1">
      <c r="B130" s="21">
        <f>ROW()-5</f>
        <v>125</v>
      </c>
      <c r="C130" s="22">
        <f>EDATE(Hipoteca!$C$7,B130-1)</f>
        <v>50100.0</v>
      </c>
      <c r="D130" s="23">
        <f>IFERROR(LOOKUP(2,1/((Hipoteca!$E$4:$E$9&lt;&gt;"")*(Hipoteca!$E$4:$E$9&lt;=C130)),Hipoteca!$F$4:$F$9),Hipoteca!$C$6)</f>
        <v>0.029</v>
      </c>
      <c r="E130" s="24">
        <f>J129</f>
        <v>115518.6242818887</v>
      </c>
      <c r="F130" s="24">
        <f>IF(E130&lt;=0.005,0,MIN(E130*(1+D130/12),IF(OR(Hipoteca!$C$8="Reducir cuota",D130&lt;&gt;D129),PMT(D130/12,K130,-E130),F129)))</f>
        <v>746.6003367545769</v>
      </c>
      <c r="G130" s="24">
        <f>E130*D130/12</f>
        <v>279.170008681231</v>
      </c>
      <c r="H130" s="24">
        <f>IF(E130&lt;=0.005,0,MIN(E130,F130-G130))</f>
        <v>467.4303280733459</v>
      </c>
      <c r="I130" s="24">
        <f>MIN(E130-H130,SUMPRODUCT((YEAR(Hipoteca!$H$4:$H$15)=YEAR(C130))*(MONTH(Hipoteca!$H$4:$H$15)=MONTH(C130))*(Hipoteca!$H$4:$H$15&lt;&gt;"")*Hipoteca!$I$4:$I$15))</f>
        <v>0</v>
      </c>
      <c r="J130" s="24">
        <f>MAX(0,E130-H130-I130)</f>
        <v>115051.19395381535</v>
      </c>
      <c r="K130" s="21">
        <f>IF(E130&lt;=0.005,0,IF(Hipoteca!$C$8="Reducir cuota",$K$6-(B130-1),IFERROR(MAX(1,ROUNDUP(NPER(D129/12,-F129,E130),0)),$K$6-(B130-1))))</f>
        <v>195</v>
      </c>
      <c r="L130" s="21">
        <f>YEAR(C130)</f>
        <v>2037</v>
      </c>
      <c r="N130" s="25">
        <f>R129</f>
        <v>134531.6643613673</v>
      </c>
      <c r="O130" s="25">
        <f>IF(N130&lt;=0.005,0,IF(D130&lt;&gt;D129,PMT(D130/12,Hipoteca!$C$5*12-(B130-1),-N130),O129))</f>
        <v>748.6477272887904</v>
      </c>
      <c r="P130" s="25">
        <f>N130*D130/12</f>
        <v>325.1181888733043</v>
      </c>
      <c r="Q130" s="25">
        <f>IF(N130&lt;=0.005,0,MIN(N130,O130-P130))</f>
        <v>423.5295384154861</v>
      </c>
      <c r="R130" s="25">
        <f>MAX(0,N130-Q130)</f>
        <v>134108.1348229518</v>
      </c>
    </row>
    <row r="131" spans="2:18" ht="18" customHeight="1">
      <c r="B131" s="21">
        <f>ROW()-5</f>
        <v>126</v>
      </c>
      <c r="C131" s="22">
        <f>EDATE(Hipoteca!$C$7,B131-1)</f>
        <v>50131.0</v>
      </c>
      <c r="D131" s="23">
        <f>IFERROR(LOOKUP(2,1/((Hipoteca!$E$4:$E$9&lt;&gt;"")*(Hipoteca!$E$4:$E$9&lt;=C131)),Hipoteca!$F$4:$F$9),Hipoteca!$C$6)</f>
        <v>0.029</v>
      </c>
      <c r="E131" s="24">
        <f>J130</f>
        <v>115051.19395381535</v>
      </c>
      <c r="F131" s="24">
        <f>IF(E131&lt;=0.005,0,MIN(E131*(1+D131/12),IF(OR(Hipoteca!$C$8="Reducir cuota",D131&lt;&gt;D130),PMT(D131/12,K131,-E131),F130)))</f>
        <v>746.6003367545769</v>
      </c>
      <c r="G131" s="24">
        <f>E131*D131/12</f>
        <v>278.0403853883871</v>
      </c>
      <c r="H131" s="24">
        <f>IF(E131&lt;=0.005,0,MIN(E131,F131-G131))</f>
        <v>468.5599513661898</v>
      </c>
      <c r="I131" s="24">
        <f>MIN(E131-H131,SUMPRODUCT((YEAR(Hipoteca!$H$4:$H$15)=YEAR(C131))*(MONTH(Hipoteca!$H$4:$H$15)=MONTH(C131))*(Hipoteca!$H$4:$H$15&lt;&gt;"")*Hipoteca!$I$4:$I$15))</f>
        <v>0</v>
      </c>
      <c r="J131" s="24">
        <f>MAX(0,E131-H131-I131)</f>
        <v>114582.63400244917</v>
      </c>
      <c r="K131" s="21">
        <f>IF(E131&lt;=0.005,0,IF(Hipoteca!$C$8="Reducir cuota",$K$6-(B131-1),IFERROR(MAX(1,ROUNDUP(NPER(D130/12,-F130,E131),0)),$K$6-(B131-1))))</f>
        <v>194</v>
      </c>
      <c r="L131" s="21">
        <f>YEAR(C131)</f>
        <v>2037</v>
      </c>
      <c r="N131" s="25">
        <f>R130</f>
        <v>134108.1348229518</v>
      </c>
      <c r="O131" s="25">
        <f>IF(N131&lt;=0.005,0,IF(D131&lt;&gt;D130,PMT(D131/12,Hipoteca!$C$5*12-(B131-1),-N131),O130))</f>
        <v>748.6477272887904</v>
      </c>
      <c r="P131" s="25">
        <f>N131*D131/12</f>
        <v>324.0946591554669</v>
      </c>
      <c r="Q131" s="25">
        <f>IF(N131&lt;=0.005,0,MIN(N131,O131-P131))</f>
        <v>424.5530681333235</v>
      </c>
      <c r="R131" s="25">
        <f>MAX(0,N131-Q131)</f>
        <v>133683.58175481847</v>
      </c>
    </row>
    <row r="132" spans="2:18" ht="18" customHeight="1">
      <c r="B132" s="21">
        <f>ROW()-5</f>
        <v>127</v>
      </c>
      <c r="C132" s="22">
        <f>EDATE(Hipoteca!$C$7,B132-1)</f>
        <v>50161.0</v>
      </c>
      <c r="D132" s="23">
        <f>IFERROR(LOOKUP(2,1/((Hipoteca!$E$4:$E$9&lt;&gt;"")*(Hipoteca!$E$4:$E$9&lt;=C132)),Hipoteca!$F$4:$F$9),Hipoteca!$C$6)</f>
        <v>0.029</v>
      </c>
      <c r="E132" s="24">
        <f>J131</f>
        <v>114582.63400244917</v>
      </c>
      <c r="F132" s="24">
        <f>IF(E132&lt;=0.005,0,MIN(E132*(1+D132/12),IF(OR(Hipoteca!$C$8="Reducir cuota",D132&lt;&gt;D131),PMT(D132/12,K132,-E132),F131)))</f>
        <v>746.6003367545769</v>
      </c>
      <c r="G132" s="24">
        <f>E132*D132/12</f>
        <v>276.9080321725855</v>
      </c>
      <c r="H132" s="24">
        <f>IF(E132&lt;=0.005,0,MIN(E132,F132-G132))</f>
        <v>469.69230458199144</v>
      </c>
      <c r="I132" s="24">
        <f>MIN(E132-H132,SUMPRODUCT((YEAR(Hipoteca!$H$4:$H$15)=YEAR(C132))*(MONTH(Hipoteca!$H$4:$H$15)=MONTH(C132))*(Hipoteca!$H$4:$H$15&lt;&gt;"")*Hipoteca!$I$4:$I$15))</f>
        <v>0</v>
      </c>
      <c r="J132" s="24">
        <f>MAX(0,E132-H132-I132)</f>
        <v>114112.94169786718</v>
      </c>
      <c r="K132" s="21">
        <f>IF(E132&lt;=0.005,0,IF(Hipoteca!$C$8="Reducir cuota",$K$6-(B132-1),IFERROR(MAX(1,ROUNDUP(NPER(D131/12,-F131,E132),0)),$K$6-(B132-1))))</f>
        <v>193</v>
      </c>
      <c r="L132" s="21">
        <f>YEAR(C132)</f>
        <v>2037</v>
      </c>
      <c r="N132" s="25">
        <f>R131</f>
        <v>133683.58175481847</v>
      </c>
      <c r="O132" s="25">
        <f>IF(N132&lt;=0.005,0,IF(D132&lt;&gt;D131,PMT(D132/12,Hipoteca!$C$5*12-(B132-1),-N132),O131))</f>
        <v>748.6477272887904</v>
      </c>
      <c r="P132" s="25">
        <f>N132*D132/12</f>
        <v>323.068655907478</v>
      </c>
      <c r="Q132" s="25">
        <f>IF(N132&lt;=0.005,0,MIN(N132,O132-P132))</f>
        <v>425.5790713813124</v>
      </c>
      <c r="R132" s="25">
        <f>MAX(0,N132-Q132)</f>
        <v>133258.00268343717</v>
      </c>
    </row>
    <row r="133" spans="2:18" ht="18" customHeight="1">
      <c r="B133" s="21">
        <f>ROW()-5</f>
        <v>128</v>
      </c>
      <c r="C133" s="22">
        <f>EDATE(Hipoteca!$C$7,B133-1)</f>
        <v>50192.0</v>
      </c>
      <c r="D133" s="23">
        <f>IFERROR(LOOKUP(2,1/((Hipoteca!$E$4:$E$9&lt;&gt;"")*(Hipoteca!$E$4:$E$9&lt;=C133)),Hipoteca!$F$4:$F$9),Hipoteca!$C$6)</f>
        <v>0.029</v>
      </c>
      <c r="E133" s="24">
        <f>J132</f>
        <v>114112.94169786718</v>
      </c>
      <c r="F133" s="24">
        <f>IF(E133&lt;=0.005,0,MIN(E133*(1+D133/12),IF(OR(Hipoteca!$C$8="Reducir cuota",D133&lt;&gt;D132),PMT(D133/12,K133,-E133),F132)))</f>
        <v>746.6003367545769</v>
      </c>
      <c r="G133" s="24">
        <f>E133*D133/12</f>
        <v>275.7729424365124</v>
      </c>
      <c r="H133" s="24">
        <f>IF(E133&lt;=0.005,0,MIN(E133,F133-G133))</f>
        <v>470.82739431806453</v>
      </c>
      <c r="I133" s="24">
        <f>MIN(E133-H133,SUMPRODUCT((YEAR(Hipoteca!$H$4:$H$15)=YEAR(C133))*(MONTH(Hipoteca!$H$4:$H$15)=MONTH(C133))*(Hipoteca!$H$4:$H$15&lt;&gt;"")*Hipoteca!$I$4:$I$15))</f>
        <v>0</v>
      </c>
      <c r="J133" s="24">
        <f>MAX(0,E133-H133-I133)</f>
        <v>113642.11430354911</v>
      </c>
      <c r="K133" s="21">
        <f>IF(E133&lt;=0.005,0,IF(Hipoteca!$C$8="Reducir cuota",$K$6-(B133-1),IFERROR(MAX(1,ROUNDUP(NPER(D132/12,-F132,E133),0)),$K$6-(B133-1))))</f>
        <v>192</v>
      </c>
      <c r="L133" s="21">
        <f>YEAR(C133)</f>
        <v>2037</v>
      </c>
      <c r="N133" s="25">
        <f>R132</f>
        <v>133258.00268343717</v>
      </c>
      <c r="O133" s="25">
        <f>IF(N133&lt;=0.005,0,IF(D133&lt;&gt;D132,PMT(D133/12,Hipoteca!$C$5*12-(B133-1),-N133),O132))</f>
        <v>748.6477272887904</v>
      </c>
      <c r="P133" s="25">
        <f>N133*D133/12</f>
        <v>322.04017315163986</v>
      </c>
      <c r="Q133" s="25">
        <f>IF(N133&lt;=0.005,0,MIN(N133,O133-P133))</f>
        <v>426.60755413715054</v>
      </c>
      <c r="R133" s="25">
        <f>MAX(0,N133-Q133)</f>
        <v>132831.3951293</v>
      </c>
    </row>
    <row r="134" spans="2:18" ht="18" customHeight="1">
      <c r="B134" s="21">
        <f>ROW()-5</f>
        <v>129</v>
      </c>
      <c r="C134" s="22">
        <f>EDATE(Hipoteca!$C$7,B134-1)</f>
        <v>50222.0</v>
      </c>
      <c r="D134" s="23">
        <f>IFERROR(LOOKUP(2,1/((Hipoteca!$E$4:$E$9&lt;&gt;"")*(Hipoteca!$E$4:$E$9&lt;=C134)),Hipoteca!$F$4:$F$9),Hipoteca!$C$6)</f>
        <v>0.029</v>
      </c>
      <c r="E134" s="24">
        <f>J133</f>
        <v>113642.11430354911</v>
      </c>
      <c r="F134" s="24">
        <f>IF(E134&lt;=0.005,0,MIN(E134*(1+D134/12),IF(OR(Hipoteca!$C$8="Reducir cuota",D134&lt;&gt;D133),PMT(D134/12,K134,-E134),F133)))</f>
        <v>746.6003367545769</v>
      </c>
      <c r="G134" s="24">
        <f>E134*D134/12</f>
        <v>274.63510956691033</v>
      </c>
      <c r="H134" s="24">
        <f>IF(E134&lt;=0.005,0,MIN(E134,F134-G134))</f>
        <v>471.9652271876666</v>
      </c>
      <c r="I134" s="24">
        <f>MIN(E134-H134,SUMPRODUCT((YEAR(Hipoteca!$H$4:$H$15)=YEAR(C134))*(MONTH(Hipoteca!$H$4:$H$15)=MONTH(C134))*(Hipoteca!$H$4:$H$15&lt;&gt;"")*Hipoteca!$I$4:$I$15))</f>
        <v>0</v>
      </c>
      <c r="J134" s="24">
        <f>MAX(0,E134-H134-I134)</f>
        <v>113170.14907636144</v>
      </c>
      <c r="K134" s="21">
        <f>IF(E134&lt;=0.005,0,IF(Hipoteca!$C$8="Reducir cuota",$K$6-(B134-1),IFERROR(MAX(1,ROUNDUP(NPER(D133/12,-F133,E134),0)),$K$6-(B134-1))))</f>
        <v>191</v>
      </c>
      <c r="L134" s="21">
        <f>YEAR(C134)</f>
        <v>2037</v>
      </c>
      <c r="N134" s="25">
        <f>R133</f>
        <v>132831.3951293</v>
      </c>
      <c r="O134" s="25">
        <f>IF(N134&lt;=0.005,0,IF(D134&lt;&gt;D133,PMT(D134/12,Hipoteca!$C$5*12-(B134-1),-N134),O133))</f>
        <v>748.6477272887904</v>
      </c>
      <c r="P134" s="25">
        <f>N134*D134/12</f>
        <v>321.0092048958084</v>
      </c>
      <c r="Q134" s="25">
        <f>IF(N134&lt;=0.005,0,MIN(N134,O134-P134))</f>
        <v>427.638522392982</v>
      </c>
      <c r="R134" s="25">
        <f>MAX(0,N134-Q134)</f>
        <v>132403.75660690703</v>
      </c>
    </row>
    <row r="135" spans="2:18" ht="18" customHeight="1">
      <c r="B135" s="21">
        <f>ROW()-5</f>
        <v>130</v>
      </c>
      <c r="C135" s="22">
        <f>EDATE(Hipoteca!$C$7,B135-1)</f>
        <v>50253.0</v>
      </c>
      <c r="D135" s="23">
        <f>IFERROR(LOOKUP(2,1/((Hipoteca!$E$4:$E$9&lt;&gt;"")*(Hipoteca!$E$4:$E$9&lt;=C135)),Hipoteca!$F$4:$F$9),Hipoteca!$C$6)</f>
        <v>0.029</v>
      </c>
      <c r="E135" s="24">
        <f>J134</f>
        <v>113170.14907636144</v>
      </c>
      <c r="F135" s="24">
        <f>IF(E135&lt;=0.005,0,MIN(E135*(1+D135/12),IF(OR(Hipoteca!$C$8="Reducir cuota",D135&lt;&gt;D134),PMT(D135/12,K135,-E135),F134)))</f>
        <v>746.6003367545769</v>
      </c>
      <c r="G135" s="24">
        <f>E135*D135/12</f>
        <v>273.49452693454015</v>
      </c>
      <c r="H135" s="24">
        <f>IF(E135&lt;=0.005,0,MIN(E135,F135-G135))</f>
        <v>473.10580982003677</v>
      </c>
      <c r="I135" s="24">
        <f>MIN(E135-H135,SUMPRODUCT((YEAR(Hipoteca!$H$4:$H$15)=YEAR(C135))*(MONTH(Hipoteca!$H$4:$H$15)=MONTH(C135))*(Hipoteca!$H$4:$H$15&lt;&gt;"")*Hipoteca!$I$4:$I$15))</f>
        <v>0</v>
      </c>
      <c r="J135" s="24">
        <f>MAX(0,E135-H135-I135)</f>
        <v>112697.04326654141</v>
      </c>
      <c r="K135" s="21">
        <f>IF(E135&lt;=0.005,0,IF(Hipoteca!$C$8="Reducir cuota",$K$6-(B135-1),IFERROR(MAX(1,ROUNDUP(NPER(D134/12,-F134,E135),0)),$K$6-(B135-1))))</f>
        <v>190</v>
      </c>
      <c r="L135" s="21">
        <f>YEAR(C135)</f>
        <v>2037</v>
      </c>
      <c r="N135" s="25">
        <f>R134</f>
        <v>132403.75660690703</v>
      </c>
      <c r="O135" s="25">
        <f>IF(N135&lt;=0.005,0,IF(D135&lt;&gt;D134,PMT(D135/12,Hipoteca!$C$5*12-(B135-1),-N135),O134))</f>
        <v>748.6477272887904</v>
      </c>
      <c r="P135" s="25">
        <f>N135*D135/12</f>
        <v>319.97574513335866</v>
      </c>
      <c r="Q135" s="25">
        <f>IF(N135&lt;=0.005,0,MIN(N135,O135-P135))</f>
        <v>428.67198215543175</v>
      </c>
      <c r="R135" s="25">
        <f>MAX(0,N135-Q135)</f>
        <v>131975.0846247516</v>
      </c>
    </row>
    <row r="136" spans="2:18" ht="18" customHeight="1">
      <c r="B136" s="21">
        <f>ROW()-5</f>
        <v>131</v>
      </c>
      <c r="C136" s="22">
        <f>EDATE(Hipoteca!$C$7,B136-1)</f>
        <v>50284.0</v>
      </c>
      <c r="D136" s="23">
        <f>IFERROR(LOOKUP(2,1/((Hipoteca!$E$4:$E$9&lt;&gt;"")*(Hipoteca!$E$4:$E$9&lt;=C136)),Hipoteca!$F$4:$F$9),Hipoteca!$C$6)</f>
        <v>0.029</v>
      </c>
      <c r="E136" s="24">
        <f>J135</f>
        <v>112697.04326654141</v>
      </c>
      <c r="F136" s="24">
        <f>IF(E136&lt;=0.005,0,MIN(E136*(1+D136/12),IF(OR(Hipoteca!$C$8="Reducir cuota",D136&lt;&gt;D135),PMT(D136/12,K136,-E136),F135)))</f>
        <v>746.6003367545769</v>
      </c>
      <c r="G136" s="24">
        <f>E136*D136/12</f>
        <v>272.3511878941418</v>
      </c>
      <c r="H136" s="24">
        <f>IF(E136&lt;=0.005,0,MIN(E136,F136-G136))</f>
        <v>474.2491488604351</v>
      </c>
      <c r="I136" s="24">
        <f>MIN(E136-H136,SUMPRODUCT((YEAR(Hipoteca!$H$4:$H$15)=YEAR(C136))*(MONTH(Hipoteca!$H$4:$H$15)=MONTH(C136))*(Hipoteca!$H$4:$H$15&lt;&gt;"")*Hipoteca!$I$4:$I$15))</f>
        <v>0</v>
      </c>
      <c r="J136" s="24">
        <f>MAX(0,E136-H136-I136)</f>
        <v>112222.79411768098</v>
      </c>
      <c r="K136" s="21">
        <f>IF(E136&lt;=0.005,0,IF(Hipoteca!$C$8="Reducir cuota",$K$6-(B136-1),IFERROR(MAX(1,ROUNDUP(NPER(D135/12,-F135,E136),0)),$K$6-(B136-1))))</f>
        <v>189</v>
      </c>
      <c r="L136" s="21">
        <f>YEAR(C136)</f>
        <v>2037</v>
      </c>
      <c r="N136" s="25">
        <f>R135</f>
        <v>131975.0846247516</v>
      </c>
      <c r="O136" s="25">
        <f>IF(N136&lt;=0.005,0,IF(D136&lt;&gt;D135,PMT(D136/12,Hipoteca!$C$5*12-(B136-1),-N136),O135))</f>
        <v>748.6477272887904</v>
      </c>
      <c r="P136" s="25">
        <f>N136*D136/12</f>
        <v>318.9397878431497</v>
      </c>
      <c r="Q136" s="25">
        <f>IF(N136&lt;=0.005,0,MIN(N136,O136-P136))</f>
        <v>429.7079394456407</v>
      </c>
      <c r="R136" s="25">
        <f>MAX(0,N136-Q136)</f>
        <v>131545.37668530594</v>
      </c>
    </row>
    <row r="137" spans="2:18" ht="18" customHeight="1">
      <c r="B137" s="21">
        <f>ROW()-5</f>
        <v>132</v>
      </c>
      <c r="C137" s="22">
        <f>EDATE(Hipoteca!$C$7,B137-1)</f>
        <v>50314.0</v>
      </c>
      <c r="D137" s="23">
        <f>IFERROR(LOOKUP(2,1/((Hipoteca!$E$4:$E$9&lt;&gt;"")*(Hipoteca!$E$4:$E$9&lt;=C137)),Hipoteca!$F$4:$F$9),Hipoteca!$C$6)</f>
        <v>0.029</v>
      </c>
      <c r="E137" s="24">
        <f>J136</f>
        <v>112222.79411768098</v>
      </c>
      <c r="F137" s="24">
        <f>IF(E137&lt;=0.005,0,MIN(E137*(1+D137/12),IF(OR(Hipoteca!$C$8="Reducir cuota",D137&lt;&gt;D136),PMT(D137/12,K137,-E137),F136)))</f>
        <v>746.6003367545769</v>
      </c>
      <c r="G137" s="24">
        <f>E137*D137/12</f>
        <v>271.20508578439575</v>
      </c>
      <c r="H137" s="24">
        <f>IF(E137&lt;=0.005,0,MIN(E137,F137-G137))</f>
        <v>475.39525097018117</v>
      </c>
      <c r="I137" s="24">
        <f>MIN(E137-H137,SUMPRODUCT((YEAR(Hipoteca!$H$4:$H$15)=YEAR(C137))*(MONTH(Hipoteca!$H$4:$H$15)=MONTH(C137))*(Hipoteca!$H$4:$H$15&lt;&gt;"")*Hipoteca!$I$4:$I$15))</f>
        <v>0</v>
      </c>
      <c r="J137" s="24">
        <f>MAX(0,E137-H137-I137)</f>
        <v>111747.3988667108</v>
      </c>
      <c r="K137" s="21">
        <f>IF(E137&lt;=0.005,0,IF(Hipoteca!$C$8="Reducir cuota",$K$6-(B137-1),IFERROR(MAX(1,ROUNDUP(NPER(D136/12,-F136,E137),0)),$K$6-(B137-1))))</f>
        <v>188</v>
      </c>
      <c r="L137" s="21">
        <f>YEAR(C137)</f>
        <v>2037</v>
      </c>
      <c r="N137" s="25">
        <f>R136</f>
        <v>131545.37668530594</v>
      </c>
      <c r="O137" s="25">
        <f>IF(N137&lt;=0.005,0,IF(D137&lt;&gt;D136,PMT(D137/12,Hipoteca!$C$5*12-(B137-1),-N137),O136))</f>
        <v>748.6477272887904</v>
      </c>
      <c r="P137" s="25">
        <f>N137*D137/12</f>
        <v>317.90132698948935</v>
      </c>
      <c r="Q137" s="25">
        <f>IF(N137&lt;=0.005,0,MIN(N137,O137-P137))</f>
        <v>430.74640029930106</v>
      </c>
      <c r="R137" s="25">
        <f>MAX(0,N137-Q137)</f>
        <v>131114.63028500663</v>
      </c>
    </row>
    <row r="138" spans="2:18" ht="18" customHeight="1">
      <c r="B138" s="21">
        <f>ROW()-5</f>
        <v>133</v>
      </c>
      <c r="C138" s="22">
        <f>EDATE(Hipoteca!$C$7,B138-1)</f>
        <v>50345.0</v>
      </c>
      <c r="D138" s="23">
        <f>IFERROR(LOOKUP(2,1/((Hipoteca!$E$4:$E$9&lt;&gt;"")*(Hipoteca!$E$4:$E$9&lt;=C138)),Hipoteca!$F$4:$F$9),Hipoteca!$C$6)</f>
        <v>0.029</v>
      </c>
      <c r="E138" s="24">
        <f>J137</f>
        <v>111747.3988667108</v>
      </c>
      <c r="F138" s="24">
        <f>IF(E138&lt;=0.005,0,MIN(E138*(1+D138/12),IF(OR(Hipoteca!$C$8="Reducir cuota",D138&lt;&gt;D137),PMT(D138/12,K138,-E138),F137)))</f>
        <v>746.6003367545769</v>
      </c>
      <c r="G138" s="24">
        <f>E138*D138/12</f>
        <v>270.05621392788447</v>
      </c>
      <c r="H138" s="24">
        <f>IF(E138&lt;=0.005,0,MIN(E138,F138-G138))</f>
        <v>476.54412282669244</v>
      </c>
      <c r="I138" s="24">
        <f>MIN(E138-H138,SUMPRODUCT((YEAR(Hipoteca!$H$4:$H$15)=YEAR(C138))*(MONTH(Hipoteca!$H$4:$H$15)=MONTH(C138))*(Hipoteca!$H$4:$H$15&lt;&gt;"")*Hipoteca!$I$4:$I$15))</f>
        <v>0</v>
      </c>
      <c r="J138" s="24">
        <f>MAX(0,E138-H138-I138)</f>
        <v>111270.85474388412</v>
      </c>
      <c r="K138" s="21">
        <f>IF(E138&lt;=0.005,0,IF(Hipoteca!$C$8="Reducir cuota",$K$6-(B138-1),IFERROR(MAX(1,ROUNDUP(NPER(D137/12,-F137,E138),0)),$K$6-(B138-1))))</f>
        <v>187</v>
      </c>
      <c r="L138" s="21">
        <f>YEAR(C138)</f>
        <v>2037</v>
      </c>
      <c r="N138" s="25">
        <f>R137</f>
        <v>131114.63028500663</v>
      </c>
      <c r="O138" s="25">
        <f>IF(N138&lt;=0.005,0,IF(D138&lt;&gt;D137,PMT(D138/12,Hipoteca!$C$5*12-(B138-1),-N138),O137))</f>
        <v>748.6477272887904</v>
      </c>
      <c r="P138" s="25">
        <f>N138*D138/12</f>
        <v>316.8603565220994</v>
      </c>
      <c r="Q138" s="25">
        <f>IF(N138&lt;=0.005,0,MIN(N138,O138-P138))</f>
        <v>431.787370766691</v>
      </c>
      <c r="R138" s="25">
        <f>MAX(0,N138-Q138)</f>
        <v>130682.84291423994</v>
      </c>
    </row>
    <row r="139" spans="2:18" ht="18" customHeight="1">
      <c r="B139" s="21">
        <f>ROW()-5</f>
        <v>134</v>
      </c>
      <c r="C139" s="22">
        <f>EDATE(Hipoteca!$C$7,B139-1)</f>
        <v>50375.0</v>
      </c>
      <c r="D139" s="23">
        <f>IFERROR(LOOKUP(2,1/((Hipoteca!$E$4:$E$9&lt;&gt;"")*(Hipoteca!$E$4:$E$9&lt;=C139)),Hipoteca!$F$4:$F$9),Hipoteca!$C$6)</f>
        <v>0.029</v>
      </c>
      <c r="E139" s="24">
        <f>J138</f>
        <v>111270.85474388412</v>
      </c>
      <c r="F139" s="24">
        <f>IF(E139&lt;=0.005,0,MIN(E139*(1+D139/12),IF(OR(Hipoteca!$C$8="Reducir cuota",D139&lt;&gt;D138),PMT(D139/12,K139,-E139),F138)))</f>
        <v>746.6003367545769</v>
      </c>
      <c r="G139" s="24">
        <f>E139*D139/12</f>
        <v>268.9045656310533</v>
      </c>
      <c r="H139" s="24">
        <f>IF(E139&lt;=0.005,0,MIN(E139,F139-G139))</f>
        <v>477.6957711235236</v>
      </c>
      <c r="I139" s="24">
        <f>MIN(E139-H139,SUMPRODUCT((YEAR(Hipoteca!$H$4:$H$15)=YEAR(C139))*(MONTH(Hipoteca!$H$4:$H$15)=MONTH(C139))*(Hipoteca!$H$4:$H$15&lt;&gt;"")*Hipoteca!$I$4:$I$15))</f>
        <v>0</v>
      </c>
      <c r="J139" s="24">
        <f>MAX(0,E139-H139-I139)</f>
        <v>110793.15897276059</v>
      </c>
      <c r="K139" s="21">
        <f>IF(E139&lt;=0.005,0,IF(Hipoteca!$C$8="Reducir cuota",$K$6-(B139-1),IFERROR(MAX(1,ROUNDUP(NPER(D138/12,-F138,E139),0)),$K$6-(B139-1))))</f>
        <v>186</v>
      </c>
      <c r="L139" s="21">
        <f>YEAR(C139)</f>
        <v>2037</v>
      </c>
      <c r="N139" s="25">
        <f>R138</f>
        <v>130682.84291423994</v>
      </c>
      <c r="O139" s="25">
        <f>IF(N139&lt;=0.005,0,IF(D139&lt;&gt;D138,PMT(D139/12,Hipoteca!$C$5*12-(B139-1),-N139),O138))</f>
        <v>748.6477272887904</v>
      </c>
      <c r="P139" s="25">
        <f>N139*D139/12</f>
        <v>315.81687037607986</v>
      </c>
      <c r="Q139" s="25">
        <f>IF(N139&lt;=0.005,0,MIN(N139,O139-P139))</f>
        <v>432.83085691271054</v>
      </c>
      <c r="R139" s="25">
        <f>MAX(0,N139-Q139)</f>
        <v>130250.01205732723</v>
      </c>
    </row>
    <row r="140" spans="2:18" ht="18" customHeight="1">
      <c r="B140" s="21">
        <f>ROW()-5</f>
        <v>135</v>
      </c>
      <c r="C140" s="22">
        <f>EDATE(Hipoteca!$C$7,B140-1)</f>
        <v>50406.0</v>
      </c>
      <c r="D140" s="23">
        <f>IFERROR(LOOKUP(2,1/((Hipoteca!$E$4:$E$9&lt;&gt;"")*(Hipoteca!$E$4:$E$9&lt;=C140)),Hipoteca!$F$4:$F$9),Hipoteca!$C$6)</f>
        <v>0.029</v>
      </c>
      <c r="E140" s="24">
        <f>J139</f>
        <v>110793.15897276059</v>
      </c>
      <c r="F140" s="24">
        <f>IF(E140&lt;=0.005,0,MIN(E140*(1+D140/12),IF(OR(Hipoteca!$C$8="Reducir cuota",D140&lt;&gt;D139),PMT(D140/12,K140,-E140),F139)))</f>
        <v>746.6003367545769</v>
      </c>
      <c r="G140" s="24">
        <f>E140*D140/12</f>
        <v>267.75013418417143</v>
      </c>
      <c r="H140" s="24">
        <f>IF(E140&lt;=0.005,0,MIN(E140,F140-G140))</f>
        <v>478.8502025704055</v>
      </c>
      <c r="I140" s="24">
        <f>MIN(E140-H140,SUMPRODUCT((YEAR(Hipoteca!$H$4:$H$15)=YEAR(C140))*(MONTH(Hipoteca!$H$4:$H$15)=MONTH(C140))*(Hipoteca!$H$4:$H$15&lt;&gt;"")*Hipoteca!$I$4:$I$15))</f>
        <v>0</v>
      </c>
      <c r="J140" s="24">
        <f>MAX(0,E140-H140-I140)</f>
        <v>110314.30877019018</v>
      </c>
      <c r="K140" s="21">
        <f>IF(E140&lt;=0.005,0,IF(Hipoteca!$C$8="Reducir cuota",$K$6-(B140-1),IFERROR(MAX(1,ROUNDUP(NPER(D139/12,-F139,E140),0)),$K$6-(B140-1))))</f>
        <v>185</v>
      </c>
      <c r="L140" s="21">
        <f>YEAR(C140)</f>
        <v>2038</v>
      </c>
      <c r="N140" s="25">
        <f>R139</f>
        <v>130250.01205732723</v>
      </c>
      <c r="O140" s="25">
        <f>IF(N140&lt;=0.005,0,IF(D140&lt;&gt;D139,PMT(D140/12,Hipoteca!$C$5*12-(B140-1),-N140),O139))</f>
        <v>748.6477272887904</v>
      </c>
      <c r="P140" s="25">
        <f>N140*D140/12</f>
        <v>314.7708624718742</v>
      </c>
      <c r="Q140" s="25">
        <f>IF(N140&lt;=0.005,0,MIN(N140,O140-P140))</f>
        <v>433.8768648169162</v>
      </c>
      <c r="R140" s="25">
        <f>MAX(0,N140-Q140)</f>
        <v>129816.13519251031</v>
      </c>
    </row>
    <row r="141" spans="2:18" ht="18" customHeight="1">
      <c r="B141" s="21">
        <f>ROW()-5</f>
        <v>136</v>
      </c>
      <c r="C141" s="22">
        <f>EDATE(Hipoteca!$C$7,B141-1)</f>
        <v>50437.0</v>
      </c>
      <c r="D141" s="23">
        <f>IFERROR(LOOKUP(2,1/((Hipoteca!$E$4:$E$9&lt;&gt;"")*(Hipoteca!$E$4:$E$9&lt;=C141)),Hipoteca!$F$4:$F$9),Hipoteca!$C$6)</f>
        <v>0.029</v>
      </c>
      <c r="E141" s="24">
        <f>J140</f>
        <v>110314.30877019018</v>
      </c>
      <c r="F141" s="24">
        <f>IF(E141&lt;=0.005,0,MIN(E141*(1+D141/12),IF(OR(Hipoteca!$C$8="Reducir cuota",D141&lt;&gt;D140),PMT(D141/12,K141,-E141),F140)))</f>
        <v>746.6003367545769</v>
      </c>
      <c r="G141" s="24">
        <f>E141*D141/12</f>
        <v>266.592912861293</v>
      </c>
      <c r="H141" s="24">
        <f>IF(E141&lt;=0.005,0,MIN(E141,F141-G141))</f>
        <v>480.00742389328394</v>
      </c>
      <c r="I141" s="24">
        <f>MIN(E141-H141,SUMPRODUCT((YEAR(Hipoteca!$H$4:$H$15)=YEAR(C141))*(MONTH(Hipoteca!$H$4:$H$15)=MONTH(C141))*(Hipoteca!$H$4:$H$15&lt;&gt;"")*Hipoteca!$I$4:$I$15))</f>
        <v>0</v>
      </c>
      <c r="J141" s="24">
        <f>MAX(0,E141-H141-I141)</f>
        <v>109834.3013462969</v>
      </c>
      <c r="K141" s="21">
        <f>IF(E141&lt;=0.005,0,IF(Hipoteca!$C$8="Reducir cuota",$K$6-(B141-1),IFERROR(MAX(1,ROUNDUP(NPER(D140/12,-F140,E141),0)),$K$6-(B141-1))))</f>
        <v>184</v>
      </c>
      <c r="L141" s="21">
        <f>YEAR(C141)</f>
        <v>2038</v>
      </c>
      <c r="N141" s="25">
        <f>R140</f>
        <v>129816.13519251031</v>
      </c>
      <c r="O141" s="25">
        <f>IF(N141&lt;=0.005,0,IF(D141&lt;&gt;D140,PMT(D141/12,Hipoteca!$C$5*12-(B141-1),-N141),O140))</f>
        <v>748.6477272887904</v>
      </c>
      <c r="P141" s="25">
        <f>N141*D141/12</f>
        <v>313.72232671523324</v>
      </c>
      <c r="Q141" s="25">
        <f>IF(N141&lt;=0.005,0,MIN(N141,O141-P141))</f>
        <v>434.92540057355717</v>
      </c>
      <c r="R141" s="25">
        <f>MAX(0,N141-Q141)</f>
        <v>129381.20979193675</v>
      </c>
    </row>
    <row r="142" spans="2:18" ht="18" customHeight="1">
      <c r="B142" s="21">
        <f>ROW()-5</f>
        <v>137</v>
      </c>
      <c r="C142" s="22">
        <f>EDATE(Hipoteca!$C$7,B142-1)</f>
        <v>50465.0</v>
      </c>
      <c r="D142" s="23">
        <f>IFERROR(LOOKUP(2,1/((Hipoteca!$E$4:$E$9&lt;&gt;"")*(Hipoteca!$E$4:$E$9&lt;=C142)),Hipoteca!$F$4:$F$9),Hipoteca!$C$6)</f>
        <v>0.029</v>
      </c>
      <c r="E142" s="24">
        <f>J141</f>
        <v>109834.3013462969</v>
      </c>
      <c r="F142" s="24">
        <f>IF(E142&lt;=0.005,0,MIN(E142*(1+D142/12),IF(OR(Hipoteca!$C$8="Reducir cuota",D142&lt;&gt;D141),PMT(D142/12,K142,-E142),F141)))</f>
        <v>746.6003367545769</v>
      </c>
      <c r="G142" s="24">
        <f>E142*D142/12</f>
        <v>265.4328949202175</v>
      </c>
      <c r="H142" s="24">
        <f>IF(E142&lt;=0.005,0,MIN(E142,F142-G142))</f>
        <v>481.1674418343594</v>
      </c>
      <c r="I142" s="24">
        <f>MIN(E142-H142,SUMPRODUCT((YEAR(Hipoteca!$H$4:$H$15)=YEAR(C142))*(MONTH(Hipoteca!$H$4:$H$15)=MONTH(C142))*(Hipoteca!$H$4:$H$15&lt;&gt;"")*Hipoteca!$I$4:$I$15))</f>
        <v>0</v>
      </c>
      <c r="J142" s="24">
        <f>MAX(0,E142-H142-I142)</f>
        <v>109353.13390446253</v>
      </c>
      <c r="K142" s="21">
        <f>IF(E142&lt;=0.005,0,IF(Hipoteca!$C$8="Reducir cuota",$K$6-(B142-1),IFERROR(MAX(1,ROUNDUP(NPER(D141/12,-F141,E142),0)),$K$6-(B142-1))))</f>
        <v>183</v>
      </c>
      <c r="L142" s="21">
        <f>YEAR(C142)</f>
        <v>2038</v>
      </c>
      <c r="N142" s="25">
        <f>R141</f>
        <v>129381.20979193675</v>
      </c>
      <c r="O142" s="25">
        <f>IF(N142&lt;=0.005,0,IF(D142&lt;&gt;D141,PMT(D142/12,Hipoteca!$C$5*12-(B142-1),-N142),O141))</f>
        <v>748.6477272887904</v>
      </c>
      <c r="P142" s="25">
        <f>N142*D142/12</f>
        <v>312.6712569971805</v>
      </c>
      <c r="Q142" s="25">
        <f>IF(N142&lt;=0.005,0,MIN(N142,O142-P142))</f>
        <v>435.9764702916099</v>
      </c>
      <c r="R142" s="25">
        <f>MAX(0,N142-Q142)</f>
        <v>128945.23332164514</v>
      </c>
    </row>
    <row r="143" spans="2:18" ht="18" customHeight="1">
      <c r="B143" s="21">
        <f>ROW()-5</f>
        <v>138</v>
      </c>
      <c r="C143" s="22">
        <f>EDATE(Hipoteca!$C$7,B143-1)</f>
        <v>50496.0</v>
      </c>
      <c r="D143" s="23">
        <f>IFERROR(LOOKUP(2,1/((Hipoteca!$E$4:$E$9&lt;&gt;"")*(Hipoteca!$E$4:$E$9&lt;=C143)),Hipoteca!$F$4:$F$9),Hipoteca!$C$6)</f>
        <v>0.029</v>
      </c>
      <c r="E143" s="24">
        <f>J142</f>
        <v>109353.13390446253</v>
      </c>
      <c r="F143" s="24">
        <f>IF(E143&lt;=0.005,0,MIN(E143*(1+D143/12),IF(OR(Hipoteca!$C$8="Reducir cuota",D143&lt;&gt;D142),PMT(D143/12,K143,-E143),F142)))</f>
        <v>746.6003367545769</v>
      </c>
      <c r="G143" s="24">
        <f>E143*D143/12</f>
        <v>264.27007360245113</v>
      </c>
      <c r="H143" s="24">
        <f>IF(E143&lt;=0.005,0,MIN(E143,F143-G143))</f>
        <v>482.3302631521258</v>
      </c>
      <c r="I143" s="24">
        <f>MIN(E143-H143,SUMPRODUCT((YEAR(Hipoteca!$H$4:$H$15)=YEAR(C143))*(MONTH(Hipoteca!$H$4:$H$15)=MONTH(C143))*(Hipoteca!$H$4:$H$15&lt;&gt;"")*Hipoteca!$I$4:$I$15))</f>
        <v>0</v>
      </c>
      <c r="J143" s="24">
        <f>MAX(0,E143-H143-I143)</f>
        <v>108870.80364131041</v>
      </c>
      <c r="K143" s="21">
        <f>IF(E143&lt;=0.005,0,IF(Hipoteca!$C$8="Reducir cuota",$K$6-(B143-1),IFERROR(MAX(1,ROUNDUP(NPER(D142/12,-F142,E143),0)),$K$6-(B143-1))))</f>
        <v>182</v>
      </c>
      <c r="L143" s="21">
        <f>YEAR(C143)</f>
        <v>2038</v>
      </c>
      <c r="N143" s="25">
        <f>R142</f>
        <v>128945.23332164514</v>
      </c>
      <c r="O143" s="25">
        <f>IF(N143&lt;=0.005,0,IF(D143&lt;&gt;D142,PMT(D143/12,Hipoteca!$C$5*12-(B143-1),-N143),O142))</f>
        <v>748.6477272887904</v>
      </c>
      <c r="P143" s="25">
        <f>N143*D143/12</f>
        <v>311.61764719397576</v>
      </c>
      <c r="Q143" s="25">
        <f>IF(N143&lt;=0.005,0,MIN(N143,O143-P143))</f>
        <v>437.03008009481465</v>
      </c>
      <c r="R143" s="25">
        <f>MAX(0,N143-Q143)</f>
        <v>128508.20324155032</v>
      </c>
    </row>
    <row r="144" spans="2:18" ht="18" customHeight="1">
      <c r="B144" s="21">
        <f>ROW()-5</f>
        <v>139</v>
      </c>
      <c r="C144" s="22">
        <f>EDATE(Hipoteca!$C$7,B144-1)</f>
        <v>50526.0</v>
      </c>
      <c r="D144" s="23">
        <f>IFERROR(LOOKUP(2,1/((Hipoteca!$E$4:$E$9&lt;&gt;"")*(Hipoteca!$E$4:$E$9&lt;=C144)),Hipoteca!$F$4:$F$9),Hipoteca!$C$6)</f>
        <v>0.029</v>
      </c>
      <c r="E144" s="24">
        <f>J143</f>
        <v>108870.80364131041</v>
      </c>
      <c r="F144" s="24">
        <f>IF(E144&lt;=0.005,0,MIN(E144*(1+D144/12),IF(OR(Hipoteca!$C$8="Reducir cuota",D144&lt;&gt;D143),PMT(D144/12,K144,-E144),F143)))</f>
        <v>746.6003367545769</v>
      </c>
      <c r="G144" s="24">
        <f>E144*D144/12</f>
        <v>263.10444213316686</v>
      </c>
      <c r="H144" s="24">
        <f>IF(E144&lt;=0.005,0,MIN(E144,F144-G144))</f>
        <v>483.49589462141006</v>
      </c>
      <c r="I144" s="24">
        <f>MIN(E144-H144,SUMPRODUCT((YEAR(Hipoteca!$H$4:$H$15)=YEAR(C144))*(MONTH(Hipoteca!$H$4:$H$15)=MONTH(C144))*(Hipoteca!$H$4:$H$15&lt;&gt;"")*Hipoteca!$I$4:$I$15))</f>
        <v>0</v>
      </c>
      <c r="J144" s="24">
        <f>MAX(0,E144-H144-I144)</f>
        <v>108387.30774668901</v>
      </c>
      <c r="K144" s="21">
        <f>IF(E144&lt;=0.005,0,IF(Hipoteca!$C$8="Reducir cuota",$K$6-(B144-1),IFERROR(MAX(1,ROUNDUP(NPER(D143/12,-F143,E144),0)),$K$6-(B144-1))))</f>
        <v>181</v>
      </c>
      <c r="L144" s="21">
        <f>YEAR(C144)</f>
        <v>2038</v>
      </c>
      <c r="N144" s="25">
        <f>R143</f>
        <v>128508.20324155032</v>
      </c>
      <c r="O144" s="25">
        <f>IF(N144&lt;=0.005,0,IF(D144&lt;&gt;D143,PMT(D144/12,Hipoteca!$C$5*12-(B144-1),-N144),O143))</f>
        <v>748.6477272887904</v>
      </c>
      <c r="P144" s="25">
        <f>N144*D144/12</f>
        <v>310.56149116707996</v>
      </c>
      <c r="Q144" s="25">
        <f>IF(N144&lt;=0.005,0,MIN(N144,O144-P144))</f>
        <v>438.08623612171044</v>
      </c>
      <c r="R144" s="25">
        <f>MAX(0,N144-Q144)</f>
        <v>128070.1170054286</v>
      </c>
    </row>
    <row r="145" spans="2:18" ht="18" customHeight="1">
      <c r="B145" s="21">
        <f>ROW()-5</f>
        <v>140</v>
      </c>
      <c r="C145" s="22">
        <f>EDATE(Hipoteca!$C$7,B145-1)</f>
        <v>50557.0</v>
      </c>
      <c r="D145" s="23">
        <f>IFERROR(LOOKUP(2,1/((Hipoteca!$E$4:$E$9&lt;&gt;"")*(Hipoteca!$E$4:$E$9&lt;=C145)),Hipoteca!$F$4:$F$9),Hipoteca!$C$6)</f>
        <v>0.029</v>
      </c>
      <c r="E145" s="24">
        <f>J144</f>
        <v>108387.30774668901</v>
      </c>
      <c r="F145" s="24">
        <f>IF(E145&lt;=0.005,0,MIN(E145*(1+D145/12),IF(OR(Hipoteca!$C$8="Reducir cuota",D145&lt;&gt;D144),PMT(D145/12,K145,-E145),F144)))</f>
        <v>746.6003367545769</v>
      </c>
      <c r="G145" s="24">
        <f>E145*D145/12</f>
        <v>261.9359937211651</v>
      </c>
      <c r="H145" s="24">
        <f>IF(E145&lt;=0.005,0,MIN(E145,F145-G145))</f>
        <v>484.6643430334118</v>
      </c>
      <c r="I145" s="24">
        <f>MIN(E145-H145,SUMPRODUCT((YEAR(Hipoteca!$H$4:$H$15)=YEAR(C145))*(MONTH(Hipoteca!$H$4:$H$15)=MONTH(C145))*(Hipoteca!$H$4:$H$15&lt;&gt;"")*Hipoteca!$I$4:$I$15))</f>
        <v>0</v>
      </c>
      <c r="J145" s="24">
        <f>MAX(0,E145-H145-I145)</f>
        <v>107902.6434036556</v>
      </c>
      <c r="K145" s="21">
        <f>IF(E145&lt;=0.005,0,IF(Hipoteca!$C$8="Reducir cuota",$K$6-(B145-1),IFERROR(MAX(1,ROUNDUP(NPER(D144/12,-F144,E145),0)),$K$6-(B145-1))))</f>
        <v>180</v>
      </c>
      <c r="L145" s="21">
        <f>YEAR(C145)</f>
        <v>2038</v>
      </c>
      <c r="N145" s="25">
        <f>R144</f>
        <v>128070.1170054286</v>
      </c>
      <c r="O145" s="25">
        <f>IF(N145&lt;=0.005,0,IF(D145&lt;&gt;D144,PMT(D145/12,Hipoteca!$C$5*12-(B145-1),-N145),O144))</f>
        <v>748.6477272887904</v>
      </c>
      <c r="P145" s="25">
        <f>N145*D145/12</f>
        <v>309.5027827631191</v>
      </c>
      <c r="Q145" s="25">
        <f>IF(N145&lt;=0.005,0,MIN(N145,O145-P145))</f>
        <v>439.1449445256713</v>
      </c>
      <c r="R145" s="25">
        <f>MAX(0,N145-Q145)</f>
        <v>127630.97206090293</v>
      </c>
    </row>
    <row r="146" spans="2:18" ht="18" customHeight="1">
      <c r="B146" s="21">
        <f>ROW()-5</f>
        <v>141</v>
      </c>
      <c r="C146" s="22">
        <f>EDATE(Hipoteca!$C$7,B146-1)</f>
        <v>50587.0</v>
      </c>
      <c r="D146" s="23">
        <f>IFERROR(LOOKUP(2,1/((Hipoteca!$E$4:$E$9&lt;&gt;"")*(Hipoteca!$E$4:$E$9&lt;=C146)),Hipoteca!$F$4:$F$9),Hipoteca!$C$6)</f>
        <v>0.029</v>
      </c>
      <c r="E146" s="24">
        <f>J145</f>
        <v>107902.6434036556</v>
      </c>
      <c r="F146" s="24">
        <f>IF(E146&lt;=0.005,0,MIN(E146*(1+D146/12),IF(OR(Hipoteca!$C$8="Reducir cuota",D146&lt;&gt;D145),PMT(D146/12,K146,-E146),F145)))</f>
        <v>746.6003367545769</v>
      </c>
      <c r="G146" s="24">
        <f>E146*D146/12</f>
        <v>260.76472155883437</v>
      </c>
      <c r="H146" s="24">
        <f>IF(E146&lt;=0.005,0,MIN(E146,F146-G146))</f>
        <v>485.83561519574255</v>
      </c>
      <c r="I146" s="24">
        <f>MIN(E146-H146,SUMPRODUCT((YEAR(Hipoteca!$H$4:$H$15)=YEAR(C146))*(MONTH(Hipoteca!$H$4:$H$15)=MONTH(C146))*(Hipoteca!$H$4:$H$15&lt;&gt;"")*Hipoteca!$I$4:$I$15))</f>
        <v>0</v>
      </c>
      <c r="J146" s="24">
        <f>MAX(0,E146-H146-I146)</f>
        <v>107416.80778845986</v>
      </c>
      <c r="K146" s="21">
        <f>IF(E146&lt;=0.005,0,IF(Hipoteca!$C$8="Reducir cuota",$K$6-(B146-1),IFERROR(MAX(1,ROUNDUP(NPER(D145/12,-F145,E146),0)),$K$6-(B146-1))))</f>
        <v>179</v>
      </c>
      <c r="L146" s="21">
        <f>YEAR(C146)</f>
        <v>2038</v>
      </c>
      <c r="N146" s="25">
        <f>R145</f>
        <v>127630.97206090293</v>
      </c>
      <c r="O146" s="25">
        <f>IF(N146&lt;=0.005,0,IF(D146&lt;&gt;D145,PMT(D146/12,Hipoteca!$C$5*12-(B146-1),-N146),O145))</f>
        <v>748.6477272887904</v>
      </c>
      <c r="P146" s="25">
        <f>N146*D146/12</f>
        <v>308.44151581384875</v>
      </c>
      <c r="Q146" s="25">
        <f>IF(N146&lt;=0.005,0,MIN(N146,O146-P146))</f>
        <v>440.20621147494165</v>
      </c>
      <c r="R146" s="25">
        <f>MAX(0,N146-Q146)</f>
        <v>127190.76584942799</v>
      </c>
    </row>
    <row r="147" spans="2:18" ht="18" customHeight="1">
      <c r="B147" s="21">
        <f>ROW()-5</f>
        <v>142</v>
      </c>
      <c r="C147" s="22">
        <f>EDATE(Hipoteca!$C$7,B147-1)</f>
        <v>50618.0</v>
      </c>
      <c r="D147" s="23">
        <f>IFERROR(LOOKUP(2,1/((Hipoteca!$E$4:$E$9&lt;&gt;"")*(Hipoteca!$E$4:$E$9&lt;=C147)),Hipoteca!$F$4:$F$9),Hipoteca!$C$6)</f>
        <v>0.029</v>
      </c>
      <c r="E147" s="24">
        <f>J146</f>
        <v>107416.80778845986</v>
      </c>
      <c r="F147" s="24">
        <f>IF(E147&lt;=0.005,0,MIN(E147*(1+D147/12),IF(OR(Hipoteca!$C$8="Reducir cuota",D147&lt;&gt;D146),PMT(D147/12,K147,-E147),F146)))</f>
        <v>746.6003367545769</v>
      </c>
      <c r="G147" s="24">
        <f>E147*D147/12</f>
        <v>259.59061882211137</v>
      </c>
      <c r="H147" s="24">
        <f>IF(E147&lt;=0.005,0,MIN(E147,F147-G147))</f>
        <v>487.00971793246555</v>
      </c>
      <c r="I147" s="24">
        <f>MIN(E147-H147,SUMPRODUCT((YEAR(Hipoteca!$H$4:$H$15)=YEAR(C147))*(MONTH(Hipoteca!$H$4:$H$15)=MONTH(C147))*(Hipoteca!$H$4:$H$15&lt;&gt;"")*Hipoteca!$I$4:$I$15))</f>
        <v>0</v>
      </c>
      <c r="J147" s="24">
        <f>MAX(0,E147-H147-I147)</f>
        <v>106929.7980705274</v>
      </c>
      <c r="K147" s="21">
        <f>IF(E147&lt;=0.005,0,IF(Hipoteca!$C$8="Reducir cuota",$K$6-(B147-1),IFERROR(MAX(1,ROUNDUP(NPER(D146/12,-F146,E147),0)),$K$6-(B147-1))))</f>
        <v>178</v>
      </c>
      <c r="L147" s="21">
        <f>YEAR(C147)</f>
        <v>2038</v>
      </c>
      <c r="N147" s="25">
        <f>R146</f>
        <v>127190.76584942799</v>
      </c>
      <c r="O147" s="25">
        <f>IF(N147&lt;=0.005,0,IF(D147&lt;&gt;D146,PMT(D147/12,Hipoteca!$C$5*12-(B147-1),-N147),O146))</f>
        <v>748.6477272887904</v>
      </c>
      <c r="P147" s="25">
        <f>N147*D147/12</f>
        <v>307.3776841361177</v>
      </c>
      <c r="Q147" s="25">
        <f>IF(N147&lt;=0.005,0,MIN(N147,O147-P147))</f>
        <v>441.2700431526727</v>
      </c>
      <c r="R147" s="25">
        <f>MAX(0,N147-Q147)</f>
        <v>126749.49580627531</v>
      </c>
    </row>
    <row r="148" spans="2:18" ht="18" customHeight="1">
      <c r="B148" s="21">
        <f>ROW()-5</f>
        <v>143</v>
      </c>
      <c r="C148" s="22">
        <f>EDATE(Hipoteca!$C$7,B148-1)</f>
        <v>50649.0</v>
      </c>
      <c r="D148" s="23">
        <f>IFERROR(LOOKUP(2,1/((Hipoteca!$E$4:$E$9&lt;&gt;"")*(Hipoteca!$E$4:$E$9&lt;=C148)),Hipoteca!$F$4:$F$9),Hipoteca!$C$6)</f>
        <v>0.029</v>
      </c>
      <c r="E148" s="24">
        <f>J147</f>
        <v>106929.7980705274</v>
      </c>
      <c r="F148" s="24">
        <f>IF(E148&lt;=0.005,0,MIN(E148*(1+D148/12),IF(OR(Hipoteca!$C$8="Reducir cuota",D148&lt;&gt;D147),PMT(D148/12,K148,-E148),F147)))</f>
        <v>746.6003367545769</v>
      </c>
      <c r="G148" s="24">
        <f>E148*D148/12</f>
        <v>258.41367867044124</v>
      </c>
      <c r="H148" s="24">
        <f>IF(E148&lt;=0.005,0,MIN(E148,F148-G148))</f>
        <v>488.1866580841357</v>
      </c>
      <c r="I148" s="24">
        <f>MIN(E148-H148,SUMPRODUCT((YEAR(Hipoteca!$H$4:$H$15)=YEAR(C148))*(MONTH(Hipoteca!$H$4:$H$15)=MONTH(C148))*(Hipoteca!$H$4:$H$15&lt;&gt;"")*Hipoteca!$I$4:$I$15))</f>
        <v>0</v>
      </c>
      <c r="J148" s="24">
        <f>MAX(0,E148-H148-I148)</f>
        <v>106441.61141244326</v>
      </c>
      <c r="K148" s="21">
        <f>IF(E148&lt;=0.005,0,IF(Hipoteca!$C$8="Reducir cuota",$K$6-(B148-1),IFERROR(MAX(1,ROUNDUP(NPER(D147/12,-F147,E148),0)),$K$6-(B148-1))))</f>
        <v>177</v>
      </c>
      <c r="L148" s="21">
        <f>YEAR(C148)</f>
        <v>2038</v>
      </c>
      <c r="N148" s="25">
        <f>R147</f>
        <v>126749.49580627531</v>
      </c>
      <c r="O148" s="25">
        <f>IF(N148&lt;=0.005,0,IF(D148&lt;&gt;D147,PMT(D148/12,Hipoteca!$C$5*12-(B148-1),-N148),O147))</f>
        <v>748.6477272887904</v>
      </c>
      <c r="P148" s="25">
        <f>N148*D148/12</f>
        <v>306.31128153183204</v>
      </c>
      <c r="Q148" s="25">
        <f>IF(N148&lt;=0.005,0,MIN(N148,O148-P148))</f>
        <v>442.33644575695837</v>
      </c>
      <c r="R148" s="25">
        <f>MAX(0,N148-Q148)</f>
        <v>126307.15936051836</v>
      </c>
    </row>
    <row r="149" spans="2:18" ht="18" customHeight="1">
      <c r="B149" s="21">
        <f>ROW()-5</f>
        <v>144</v>
      </c>
      <c r="C149" s="22">
        <f>EDATE(Hipoteca!$C$7,B149-1)</f>
        <v>50679.0</v>
      </c>
      <c r="D149" s="23">
        <f>IFERROR(LOOKUP(2,1/((Hipoteca!$E$4:$E$9&lt;&gt;"")*(Hipoteca!$E$4:$E$9&lt;=C149)),Hipoteca!$F$4:$F$9),Hipoteca!$C$6)</f>
        <v>0.029</v>
      </c>
      <c r="E149" s="24">
        <f>J148</f>
        <v>106441.61141244326</v>
      </c>
      <c r="F149" s="24">
        <f>IF(E149&lt;=0.005,0,MIN(E149*(1+D149/12),IF(OR(Hipoteca!$C$8="Reducir cuota",D149&lt;&gt;D148),PMT(D149/12,K149,-E149),F148)))</f>
        <v>746.6003367545769</v>
      </c>
      <c r="G149" s="24">
        <f>E149*D149/12</f>
        <v>257.2338942467379</v>
      </c>
      <c r="H149" s="24">
        <f>IF(E149&lt;=0.005,0,MIN(E149,F149-G149))</f>
        <v>489.366442507839</v>
      </c>
      <c r="I149" s="24">
        <f>MIN(E149-H149,SUMPRODUCT((YEAR(Hipoteca!$H$4:$H$15)=YEAR(C149))*(MONTH(Hipoteca!$H$4:$H$15)=MONTH(C149))*(Hipoteca!$H$4:$H$15&lt;&gt;"")*Hipoteca!$I$4:$I$15))</f>
        <v>0</v>
      </c>
      <c r="J149" s="24">
        <f>MAX(0,E149-H149-I149)</f>
        <v>105952.24496993542</v>
      </c>
      <c r="K149" s="21">
        <f>IF(E149&lt;=0.005,0,IF(Hipoteca!$C$8="Reducir cuota",$K$6-(B149-1),IFERROR(MAX(1,ROUNDUP(NPER(D148/12,-F148,E149),0)),$K$6-(B149-1))))</f>
        <v>176</v>
      </c>
      <c r="L149" s="21">
        <f>YEAR(C149)</f>
        <v>2038</v>
      </c>
      <c r="N149" s="25">
        <f>R148</f>
        <v>126307.15936051836</v>
      </c>
      <c r="O149" s="25">
        <f>IF(N149&lt;=0.005,0,IF(D149&lt;&gt;D148,PMT(D149/12,Hipoteca!$C$5*12-(B149-1),-N149),O148))</f>
        <v>748.6477272887904</v>
      </c>
      <c r="P149" s="25">
        <f>N149*D149/12</f>
        <v>305.2423017879194</v>
      </c>
      <c r="Q149" s="25">
        <f>IF(N149&lt;=0.005,0,MIN(N149,O149-P149))</f>
        <v>443.405425500871</v>
      </c>
      <c r="R149" s="25">
        <f>MAX(0,N149-Q149)</f>
        <v>125863.75393501749</v>
      </c>
    </row>
    <row r="150" spans="2:18" ht="18" customHeight="1">
      <c r="B150" s="21">
        <f>ROW()-5</f>
        <v>145</v>
      </c>
      <c r="C150" s="22">
        <f>EDATE(Hipoteca!$C$7,B150-1)</f>
        <v>50710.0</v>
      </c>
      <c r="D150" s="23">
        <f>IFERROR(LOOKUP(2,1/((Hipoteca!$E$4:$E$9&lt;&gt;"")*(Hipoteca!$E$4:$E$9&lt;=C150)),Hipoteca!$F$4:$F$9),Hipoteca!$C$6)</f>
        <v>0.029</v>
      </c>
      <c r="E150" s="24">
        <f>J149</f>
        <v>105952.24496993542</v>
      </c>
      <c r="F150" s="24">
        <f>IF(E150&lt;=0.005,0,MIN(E150*(1+D150/12),IF(OR(Hipoteca!$C$8="Reducir cuota",D150&lt;&gt;D149),PMT(D150/12,K150,-E150),F149)))</f>
        <v>746.6003367545769</v>
      </c>
      <c r="G150" s="24">
        <f>E150*D150/12</f>
        <v>256.0512586773439</v>
      </c>
      <c r="H150" s="24">
        <f>IF(E150&lt;=0.005,0,MIN(E150,F150-G150))</f>
        <v>490.549078077233</v>
      </c>
      <c r="I150" s="24">
        <f>MIN(E150-H150,SUMPRODUCT((YEAR(Hipoteca!$H$4:$H$15)=YEAR(C150))*(MONTH(Hipoteca!$H$4:$H$15)=MONTH(C150))*(Hipoteca!$H$4:$H$15&lt;&gt;"")*Hipoteca!$I$4:$I$15))</f>
        <v>0</v>
      </c>
      <c r="J150" s="24">
        <f>MAX(0,E150-H150-I150)</f>
        <v>105461.69589185818</v>
      </c>
      <c r="K150" s="21">
        <f>IF(E150&lt;=0.005,0,IF(Hipoteca!$C$8="Reducir cuota",$K$6-(B150-1),IFERROR(MAX(1,ROUNDUP(NPER(D149/12,-F149,E150),0)),$K$6-(B150-1))))</f>
        <v>175</v>
      </c>
      <c r="L150" s="21">
        <f>YEAR(C150)</f>
        <v>2038</v>
      </c>
      <c r="N150" s="25">
        <f>R149</f>
        <v>125863.75393501749</v>
      </c>
      <c r="O150" s="25">
        <f>IF(N150&lt;=0.005,0,IF(D150&lt;&gt;D149,PMT(D150/12,Hipoteca!$C$5*12-(B150-1),-N150),O149))</f>
        <v>748.6477272887904</v>
      </c>
      <c r="P150" s="25">
        <f>N150*D150/12</f>
        <v>304.1707386762923</v>
      </c>
      <c r="Q150" s="25">
        <f>IF(N150&lt;=0.005,0,MIN(N150,O150-P150))</f>
        <v>444.47698861249813</v>
      </c>
      <c r="R150" s="25">
        <f>MAX(0,N150-Q150)</f>
        <v>125419.27694640499</v>
      </c>
    </row>
    <row r="151" spans="2:18" ht="18" customHeight="1">
      <c r="B151" s="21">
        <f>ROW()-5</f>
        <v>146</v>
      </c>
      <c r="C151" s="22">
        <f>EDATE(Hipoteca!$C$7,B151-1)</f>
        <v>50740.0</v>
      </c>
      <c r="D151" s="23">
        <f>IFERROR(LOOKUP(2,1/((Hipoteca!$E$4:$E$9&lt;&gt;"")*(Hipoteca!$E$4:$E$9&lt;=C151)),Hipoteca!$F$4:$F$9),Hipoteca!$C$6)</f>
        <v>0.029</v>
      </c>
      <c r="E151" s="24">
        <f>J150</f>
        <v>105461.69589185818</v>
      </c>
      <c r="F151" s="24">
        <f>IF(E151&lt;=0.005,0,MIN(E151*(1+D151/12),IF(OR(Hipoteca!$C$8="Reducir cuota",D151&lt;&gt;D150),PMT(D151/12,K151,-E151),F150)))</f>
        <v>746.6003367545769</v>
      </c>
      <c r="G151" s="24">
        <f>E151*D151/12</f>
        <v>254.8657650719906</v>
      </c>
      <c r="H151" s="24">
        <f>IF(E151&lt;=0.005,0,MIN(E151,F151-G151))</f>
        <v>491.7345716825863</v>
      </c>
      <c r="I151" s="24">
        <f>MIN(E151-H151,SUMPRODUCT((YEAR(Hipoteca!$H$4:$H$15)=YEAR(C151))*(MONTH(Hipoteca!$H$4:$H$15)=MONTH(C151))*(Hipoteca!$H$4:$H$15&lt;&gt;"")*Hipoteca!$I$4:$I$15))</f>
        <v>0</v>
      </c>
      <c r="J151" s="24">
        <f>MAX(0,E151-H151-I151)</f>
        <v>104969.9613201756</v>
      </c>
      <c r="K151" s="21">
        <f>IF(E151&lt;=0.005,0,IF(Hipoteca!$C$8="Reducir cuota",$K$6-(B151-1),IFERROR(MAX(1,ROUNDUP(NPER(D150/12,-F150,E151),0)),$K$6-(B151-1))))</f>
        <v>174</v>
      </c>
      <c r="L151" s="21">
        <f>YEAR(C151)</f>
        <v>2038</v>
      </c>
      <c r="N151" s="25">
        <f>R150</f>
        <v>125419.27694640499</v>
      </c>
      <c r="O151" s="25">
        <f>IF(N151&lt;=0.005,0,IF(D151&lt;&gt;D150,PMT(D151/12,Hipoteca!$C$5*12-(B151-1),-N151),O150))</f>
        <v>748.6477272887904</v>
      </c>
      <c r="P151" s="25">
        <f>N151*D151/12</f>
        <v>303.09658595381205</v>
      </c>
      <c r="Q151" s="25">
        <f>IF(N151&lt;=0.005,0,MIN(N151,O151-P151))</f>
        <v>445.55114133497835</v>
      </c>
      <c r="R151" s="25">
        <f>MAX(0,N151-Q151)</f>
        <v>124973.72580507002</v>
      </c>
    </row>
    <row r="152" spans="2:18" ht="18" customHeight="1">
      <c r="B152" s="21">
        <f>ROW()-5</f>
        <v>147</v>
      </c>
      <c r="C152" s="22">
        <f>EDATE(Hipoteca!$C$7,B152-1)</f>
        <v>50771.0</v>
      </c>
      <c r="D152" s="23">
        <f>IFERROR(LOOKUP(2,1/((Hipoteca!$E$4:$E$9&lt;&gt;"")*(Hipoteca!$E$4:$E$9&lt;=C152)),Hipoteca!$F$4:$F$9),Hipoteca!$C$6)</f>
        <v>0.029</v>
      </c>
      <c r="E152" s="24">
        <f>J151</f>
        <v>104969.9613201756</v>
      </c>
      <c r="F152" s="24">
        <f>IF(E152&lt;=0.005,0,MIN(E152*(1+D152/12),IF(OR(Hipoteca!$C$8="Reducir cuota",D152&lt;&gt;D151),PMT(D152/12,K152,-E152),F151)))</f>
        <v>746.6003367545769</v>
      </c>
      <c r="G152" s="24">
        <f>E152*D152/12</f>
        <v>253.6774065237577</v>
      </c>
      <c r="H152" s="24">
        <f>IF(E152&lt;=0.005,0,MIN(E152,F152-G152))</f>
        <v>492.92293023081925</v>
      </c>
      <c r="I152" s="24">
        <f>MIN(E152-H152,SUMPRODUCT((YEAR(Hipoteca!$H$4:$H$15)=YEAR(C152))*(MONTH(Hipoteca!$H$4:$H$15)=MONTH(C152))*(Hipoteca!$H$4:$H$15&lt;&gt;"")*Hipoteca!$I$4:$I$15))</f>
        <v>0</v>
      </c>
      <c r="J152" s="24">
        <f>MAX(0,E152-H152-I152)</f>
        <v>104477.03838994478</v>
      </c>
      <c r="K152" s="21">
        <f>IF(E152&lt;=0.005,0,IF(Hipoteca!$C$8="Reducir cuota",$K$6-(B152-1),IFERROR(MAX(1,ROUNDUP(NPER(D151/12,-F151,E152),0)),$K$6-(B152-1))))</f>
        <v>173</v>
      </c>
      <c r="L152" s="21">
        <f>YEAR(C152)</f>
        <v>2039</v>
      </c>
      <c r="N152" s="25">
        <f>R151</f>
        <v>124973.72580507002</v>
      </c>
      <c r="O152" s="25">
        <f>IF(N152&lt;=0.005,0,IF(D152&lt;&gt;D151,PMT(D152/12,Hipoteca!$C$5*12-(B152-1),-N152),O151))</f>
        <v>748.6477272887904</v>
      </c>
      <c r="P152" s="25">
        <f>N152*D152/12</f>
        <v>302.01983736225253</v>
      </c>
      <c r="Q152" s="25">
        <f>IF(N152&lt;=0.005,0,MIN(N152,O152-P152))</f>
        <v>446.6278899265379</v>
      </c>
      <c r="R152" s="25">
        <f>MAX(0,N152-Q152)</f>
        <v>124527.09791514349</v>
      </c>
    </row>
    <row r="153" spans="2:18" ht="18" customHeight="1">
      <c r="B153" s="21">
        <f>ROW()-5</f>
        <v>148</v>
      </c>
      <c r="C153" s="22">
        <f>EDATE(Hipoteca!$C$7,B153-1)</f>
        <v>50802.0</v>
      </c>
      <c r="D153" s="23">
        <f>IFERROR(LOOKUP(2,1/((Hipoteca!$E$4:$E$9&lt;&gt;"")*(Hipoteca!$E$4:$E$9&lt;=C153)),Hipoteca!$F$4:$F$9),Hipoteca!$C$6)</f>
        <v>0.029</v>
      </c>
      <c r="E153" s="24">
        <f>J152</f>
        <v>104477.03838994478</v>
      </c>
      <c r="F153" s="24">
        <f>IF(E153&lt;=0.005,0,MIN(E153*(1+D153/12),IF(OR(Hipoteca!$C$8="Reducir cuota",D153&lt;&gt;D152),PMT(D153/12,K153,-E153),F152)))</f>
        <v>746.6003367545769</v>
      </c>
      <c r="G153" s="24">
        <f>E153*D153/12</f>
        <v>252.4861761090332</v>
      </c>
      <c r="H153" s="24">
        <f>IF(E153&lt;=0.005,0,MIN(E153,F153-G153))</f>
        <v>494.11416064554373</v>
      </c>
      <c r="I153" s="24">
        <f>MIN(E153-H153,SUMPRODUCT((YEAR(Hipoteca!$H$4:$H$15)=YEAR(C153))*(MONTH(Hipoteca!$H$4:$H$15)=MONTH(C153))*(Hipoteca!$H$4:$H$15&lt;&gt;"")*Hipoteca!$I$4:$I$15))</f>
        <v>0</v>
      </c>
      <c r="J153" s="24">
        <f>MAX(0,E153-H153-I153)</f>
        <v>103982.92422929923</v>
      </c>
      <c r="K153" s="21">
        <f>IF(E153&lt;=0.005,0,IF(Hipoteca!$C$8="Reducir cuota",$K$6-(B153-1),IFERROR(MAX(1,ROUNDUP(NPER(D152/12,-F152,E153),0)),$K$6-(B153-1))))</f>
        <v>172</v>
      </c>
      <c r="L153" s="21">
        <f>YEAR(C153)</f>
        <v>2039</v>
      </c>
      <c r="N153" s="25">
        <f>R152</f>
        <v>124527.09791514349</v>
      </c>
      <c r="O153" s="25">
        <f>IF(N153&lt;=0.005,0,IF(D153&lt;&gt;D152,PMT(D153/12,Hipoteca!$C$5*12-(B153-1),-N153),O152))</f>
        <v>748.6477272887904</v>
      </c>
      <c r="P153" s="25">
        <f>N153*D153/12</f>
        <v>300.94048662826344</v>
      </c>
      <c r="Q153" s="25">
        <f>IF(N153&lt;=0.005,0,MIN(N153,O153-P153))</f>
        <v>447.70724066052696</v>
      </c>
      <c r="R153" s="25">
        <f>MAX(0,N153-Q153)</f>
        <v>124079.39067448296</v>
      </c>
    </row>
    <row r="154" spans="2:18" ht="18" customHeight="1">
      <c r="B154" s="21">
        <f>ROW()-5</f>
        <v>149</v>
      </c>
      <c r="C154" s="22">
        <f>EDATE(Hipoteca!$C$7,B154-1)</f>
        <v>50830.0</v>
      </c>
      <c r="D154" s="23">
        <f>IFERROR(LOOKUP(2,1/((Hipoteca!$E$4:$E$9&lt;&gt;"")*(Hipoteca!$E$4:$E$9&lt;=C154)),Hipoteca!$F$4:$F$9),Hipoteca!$C$6)</f>
        <v>0.029</v>
      </c>
      <c r="E154" s="24">
        <f>J153</f>
        <v>103982.92422929923</v>
      </c>
      <c r="F154" s="24">
        <f>IF(E154&lt;=0.005,0,MIN(E154*(1+D154/12),IF(OR(Hipoteca!$C$8="Reducir cuota",D154&lt;&gt;D153),PMT(D154/12,K154,-E154),F153)))</f>
        <v>746.6003367545769</v>
      </c>
      <c r="G154" s="24">
        <f>E154*D154/12</f>
        <v>251.29206688747317</v>
      </c>
      <c r="H154" s="24">
        <f>IF(E154&lt;=0.005,0,MIN(E154,F154-G154))</f>
        <v>495.3082698671037</v>
      </c>
      <c r="I154" s="24">
        <f>MIN(E154-H154,SUMPRODUCT((YEAR(Hipoteca!$H$4:$H$15)=YEAR(C154))*(MONTH(Hipoteca!$H$4:$H$15)=MONTH(C154))*(Hipoteca!$H$4:$H$15&lt;&gt;"")*Hipoteca!$I$4:$I$15))</f>
        <v>0</v>
      </c>
      <c r="J154" s="24">
        <f>MAX(0,E154-H154-I154)</f>
        <v>103487.61595943212</v>
      </c>
      <c r="K154" s="21">
        <f>IF(E154&lt;=0.005,0,IF(Hipoteca!$C$8="Reducir cuota",$K$6-(B154-1),IFERROR(MAX(1,ROUNDUP(NPER(D153/12,-F153,E154),0)),$K$6-(B154-1))))</f>
        <v>171</v>
      </c>
      <c r="L154" s="21">
        <f>YEAR(C154)</f>
        <v>2039</v>
      </c>
      <c r="N154" s="25">
        <f>R153</f>
        <v>124079.39067448296</v>
      </c>
      <c r="O154" s="25">
        <f>IF(N154&lt;=0.005,0,IF(D154&lt;&gt;D153,PMT(D154/12,Hipoteca!$C$5*12-(B154-1),-N154),O153))</f>
        <v>748.6477272887904</v>
      </c>
      <c r="P154" s="25">
        <f>N154*D154/12</f>
        <v>299.8585274633338</v>
      </c>
      <c r="Q154" s="25">
        <f>IF(N154&lt;=0.005,0,MIN(N154,O154-P154))</f>
        <v>448.7891998254566</v>
      </c>
      <c r="R154" s="25">
        <f>MAX(0,N154-Q154)</f>
        <v>123630.6014746575</v>
      </c>
    </row>
    <row r="155" spans="2:18" ht="18" customHeight="1">
      <c r="B155" s="21">
        <f>ROW()-5</f>
        <v>150</v>
      </c>
      <c r="C155" s="22">
        <f>EDATE(Hipoteca!$C$7,B155-1)</f>
        <v>50861.0</v>
      </c>
      <c r="D155" s="23">
        <f>IFERROR(LOOKUP(2,1/((Hipoteca!$E$4:$E$9&lt;&gt;"")*(Hipoteca!$E$4:$E$9&lt;=C155)),Hipoteca!$F$4:$F$9),Hipoteca!$C$6)</f>
        <v>0.029</v>
      </c>
      <c r="E155" s="24">
        <f>J154</f>
        <v>103487.61595943212</v>
      </c>
      <c r="F155" s="24">
        <f>IF(E155&lt;=0.005,0,MIN(E155*(1+D155/12),IF(OR(Hipoteca!$C$8="Reducir cuota",D155&lt;&gt;D154),PMT(D155/12,K155,-E155),F154)))</f>
        <v>746.6003367545769</v>
      </c>
      <c r="G155" s="24">
        <f>E155*D155/12</f>
        <v>250.09507190196098</v>
      </c>
      <c r="H155" s="24">
        <f>IF(E155&lt;=0.005,0,MIN(E155,F155-G155))</f>
        <v>496.50526485261594</v>
      </c>
      <c r="I155" s="24">
        <f>MIN(E155-H155,SUMPRODUCT((YEAR(Hipoteca!$H$4:$H$15)=YEAR(C155))*(MONTH(Hipoteca!$H$4:$H$15)=MONTH(C155))*(Hipoteca!$H$4:$H$15&lt;&gt;"")*Hipoteca!$I$4:$I$15))</f>
        <v>0</v>
      </c>
      <c r="J155" s="24">
        <f>MAX(0,E155-H155-I155)</f>
        <v>102991.1106945795</v>
      </c>
      <c r="K155" s="21">
        <f>IF(E155&lt;=0.005,0,IF(Hipoteca!$C$8="Reducir cuota",$K$6-(B155-1),IFERROR(MAX(1,ROUNDUP(NPER(D154/12,-F154,E155),0)),$K$6-(B155-1))))</f>
        <v>170</v>
      </c>
      <c r="L155" s="21">
        <f>YEAR(C155)</f>
        <v>2039</v>
      </c>
      <c r="N155" s="25">
        <f>R154</f>
        <v>123630.6014746575</v>
      </c>
      <c r="O155" s="25">
        <f>IF(N155&lt;=0.005,0,IF(D155&lt;&gt;D154,PMT(D155/12,Hipoteca!$C$5*12-(B155-1),-N155),O154))</f>
        <v>748.6477272887904</v>
      </c>
      <c r="P155" s="25">
        <f>N155*D155/12</f>
        <v>298.77395356375564</v>
      </c>
      <c r="Q155" s="25">
        <f>IF(N155&lt;=0.005,0,MIN(N155,O155-P155))</f>
        <v>449.87377372503477</v>
      </c>
      <c r="R155" s="25">
        <f>MAX(0,N155-Q155)</f>
        <v>123180.72770093246</v>
      </c>
    </row>
    <row r="156" spans="2:18" ht="18" customHeight="1">
      <c r="B156" s="21">
        <f>ROW()-5</f>
        <v>151</v>
      </c>
      <c r="C156" s="22">
        <f>EDATE(Hipoteca!$C$7,B156-1)</f>
        <v>50891.0</v>
      </c>
      <c r="D156" s="23">
        <f>IFERROR(LOOKUP(2,1/((Hipoteca!$E$4:$E$9&lt;&gt;"")*(Hipoteca!$E$4:$E$9&lt;=C156)),Hipoteca!$F$4:$F$9),Hipoteca!$C$6)</f>
        <v>0.029</v>
      </c>
      <c r="E156" s="24">
        <f>J155</f>
        <v>102991.1106945795</v>
      </c>
      <c r="F156" s="24">
        <f>IF(E156&lt;=0.005,0,MIN(E156*(1+D156/12),IF(OR(Hipoteca!$C$8="Reducir cuota",D156&lt;&gt;D155),PMT(D156/12,K156,-E156),F155)))</f>
        <v>746.6003367545769</v>
      </c>
      <c r="G156" s="24">
        <f>E156*D156/12</f>
        <v>248.89518417856712</v>
      </c>
      <c r="H156" s="24">
        <f>IF(E156&lt;=0.005,0,MIN(E156,F156-G156))</f>
        <v>497.7051525760098</v>
      </c>
      <c r="I156" s="24">
        <f>MIN(E156-H156,SUMPRODUCT((YEAR(Hipoteca!$H$4:$H$15)=YEAR(C156))*(MONTH(Hipoteca!$H$4:$H$15)=MONTH(C156))*(Hipoteca!$H$4:$H$15&lt;&gt;"")*Hipoteca!$I$4:$I$15))</f>
        <v>0</v>
      </c>
      <c r="J156" s="24">
        <f>MAX(0,E156-H156-I156)</f>
        <v>102493.4055420035</v>
      </c>
      <c r="K156" s="21">
        <f>IF(E156&lt;=0.005,0,IF(Hipoteca!$C$8="Reducir cuota",$K$6-(B156-1),IFERROR(MAX(1,ROUNDUP(NPER(D155/12,-F155,E156),0)),$K$6-(B156-1))))</f>
        <v>169</v>
      </c>
      <c r="L156" s="21">
        <f>YEAR(C156)</f>
        <v>2039</v>
      </c>
      <c r="N156" s="25">
        <f>R155</f>
        <v>123180.72770093246</v>
      </c>
      <c r="O156" s="25">
        <f>IF(N156&lt;=0.005,0,IF(D156&lt;&gt;D155,PMT(D156/12,Hipoteca!$C$5*12-(B156-1),-N156),O155))</f>
        <v>748.6477272887904</v>
      </c>
      <c r="P156" s="25">
        <f>N156*D156/12</f>
        <v>297.68675861058676</v>
      </c>
      <c r="Q156" s="25">
        <f>IF(N156&lt;=0.005,0,MIN(N156,O156-P156))</f>
        <v>450.96096867820364</v>
      </c>
      <c r="R156" s="25">
        <f>MAX(0,N156-Q156)</f>
        <v>122729.76673225425</v>
      </c>
    </row>
    <row r="157" spans="2:18" ht="18" customHeight="1">
      <c r="B157" s="21">
        <f>ROW()-5</f>
        <v>152</v>
      </c>
      <c r="C157" s="22">
        <f>EDATE(Hipoteca!$C$7,B157-1)</f>
        <v>50922.0</v>
      </c>
      <c r="D157" s="23">
        <f>IFERROR(LOOKUP(2,1/((Hipoteca!$E$4:$E$9&lt;&gt;"")*(Hipoteca!$E$4:$E$9&lt;=C157)),Hipoteca!$F$4:$F$9),Hipoteca!$C$6)</f>
        <v>0.029</v>
      </c>
      <c r="E157" s="24">
        <f>J156</f>
        <v>102493.4055420035</v>
      </c>
      <c r="F157" s="24">
        <f>IF(E157&lt;=0.005,0,MIN(E157*(1+D157/12),IF(OR(Hipoteca!$C$8="Reducir cuota",D157&lt;&gt;D156),PMT(D157/12,K157,-E157),F156)))</f>
        <v>746.6003367545769</v>
      </c>
      <c r="G157" s="24">
        <f>E157*D157/12</f>
        <v>247.69239672650846</v>
      </c>
      <c r="H157" s="24">
        <f>IF(E157&lt;=0.005,0,MIN(E157,F157-G157))</f>
        <v>498.9079400280684</v>
      </c>
      <c r="I157" s="24">
        <f>MIN(E157-H157,SUMPRODUCT((YEAR(Hipoteca!$H$4:$H$15)=YEAR(C157))*(MONTH(Hipoteca!$H$4:$H$15)=MONTH(C157))*(Hipoteca!$H$4:$H$15&lt;&gt;"")*Hipoteca!$I$4:$I$15))</f>
        <v>0</v>
      </c>
      <c r="J157" s="24">
        <f>MAX(0,E157-H157-I157)</f>
        <v>101994.49760197542</v>
      </c>
      <c r="K157" s="21">
        <f>IF(E157&lt;=0.005,0,IF(Hipoteca!$C$8="Reducir cuota",$K$6-(B157-1),IFERROR(MAX(1,ROUNDUP(NPER(D156/12,-F156,E157),0)),$K$6-(B157-1))))</f>
        <v>168</v>
      </c>
      <c r="L157" s="21">
        <f>YEAR(C157)</f>
        <v>2039</v>
      </c>
      <c r="N157" s="25">
        <f>R156</f>
        <v>122729.76673225425</v>
      </c>
      <c r="O157" s="25">
        <f>IF(N157&lt;=0.005,0,IF(D157&lt;&gt;D156,PMT(D157/12,Hipoteca!$C$5*12-(B157-1),-N157),O156))</f>
        <v>748.6477272887904</v>
      </c>
      <c r="P157" s="25">
        <f>N157*D157/12</f>
        <v>296.59693626961445</v>
      </c>
      <c r="Q157" s="25">
        <f>IF(N157&lt;=0.005,0,MIN(N157,O157-P157))</f>
        <v>452.05079101917596</v>
      </c>
      <c r="R157" s="25">
        <f>MAX(0,N157-Q157)</f>
        <v>122277.71594123507</v>
      </c>
    </row>
    <row r="158" spans="2:18" ht="18" customHeight="1">
      <c r="B158" s="21">
        <f>ROW()-5</f>
        <v>153</v>
      </c>
      <c r="C158" s="22">
        <f>EDATE(Hipoteca!$C$7,B158-1)</f>
        <v>50952.0</v>
      </c>
      <c r="D158" s="23">
        <f>IFERROR(LOOKUP(2,1/((Hipoteca!$E$4:$E$9&lt;&gt;"")*(Hipoteca!$E$4:$E$9&lt;=C158)),Hipoteca!$F$4:$F$9),Hipoteca!$C$6)</f>
        <v>0.029</v>
      </c>
      <c r="E158" s="24">
        <f>J157</f>
        <v>101994.49760197542</v>
      </c>
      <c r="F158" s="24">
        <f>IF(E158&lt;=0.005,0,MIN(E158*(1+D158/12),IF(OR(Hipoteca!$C$8="Reducir cuota",D158&lt;&gt;D157),PMT(D158/12,K158,-E158),F157)))</f>
        <v>746.6003367545769</v>
      </c>
      <c r="G158" s="24">
        <f>E158*D158/12</f>
        <v>246.48670253810727</v>
      </c>
      <c r="H158" s="24">
        <f>IF(E158&lt;=0.005,0,MIN(E158,F158-G158))</f>
        <v>500.1136342164697</v>
      </c>
      <c r="I158" s="24">
        <f>MIN(E158-H158,SUMPRODUCT((YEAR(Hipoteca!$H$4:$H$15)=YEAR(C158))*(MONTH(Hipoteca!$H$4:$H$15)=MONTH(C158))*(Hipoteca!$H$4:$H$15&lt;&gt;"")*Hipoteca!$I$4:$I$15))</f>
        <v>0</v>
      </c>
      <c r="J158" s="24">
        <f>MAX(0,E158-H158-I158)</f>
        <v>101494.38396775896</v>
      </c>
      <c r="K158" s="21">
        <f>IF(E158&lt;=0.005,0,IF(Hipoteca!$C$8="Reducir cuota",$K$6-(B158-1),IFERROR(MAX(1,ROUNDUP(NPER(D157/12,-F157,E158),0)),$K$6-(B158-1))))</f>
        <v>167</v>
      </c>
      <c r="L158" s="21">
        <f>YEAR(C158)</f>
        <v>2039</v>
      </c>
      <c r="N158" s="25">
        <f>R157</f>
        <v>122277.71594123507</v>
      </c>
      <c r="O158" s="25">
        <f>IF(N158&lt;=0.005,0,IF(D158&lt;&gt;D157,PMT(D158/12,Hipoteca!$C$5*12-(B158-1),-N158),O157))</f>
        <v>748.6477272887904</v>
      </c>
      <c r="P158" s="25">
        <f>N158*D158/12</f>
        <v>295.5044801913181</v>
      </c>
      <c r="Q158" s="25">
        <f>IF(N158&lt;=0.005,0,MIN(N158,O158-P158))</f>
        <v>453.1432470974723</v>
      </c>
      <c r="R158" s="25">
        <f>MAX(0,N158-Q158)</f>
        <v>121824.5726941376</v>
      </c>
    </row>
    <row r="159" spans="2:18" ht="18" customHeight="1">
      <c r="B159" s="21">
        <f>ROW()-5</f>
        <v>154</v>
      </c>
      <c r="C159" s="22">
        <f>EDATE(Hipoteca!$C$7,B159-1)</f>
        <v>50983.0</v>
      </c>
      <c r="D159" s="23">
        <f>IFERROR(LOOKUP(2,1/((Hipoteca!$E$4:$E$9&lt;&gt;"")*(Hipoteca!$E$4:$E$9&lt;=C159)),Hipoteca!$F$4:$F$9),Hipoteca!$C$6)</f>
        <v>0.029</v>
      </c>
      <c r="E159" s="24">
        <f>J158</f>
        <v>101494.38396775896</v>
      </c>
      <c r="F159" s="24">
        <f>IF(E159&lt;=0.005,0,MIN(E159*(1+D159/12),IF(OR(Hipoteca!$C$8="Reducir cuota",D159&lt;&gt;D158),PMT(D159/12,K159,-E159),F158)))</f>
        <v>746.6003367545769</v>
      </c>
      <c r="G159" s="24">
        <f>E159*D159/12</f>
        <v>245.27809458875083</v>
      </c>
      <c r="H159" s="24">
        <f>IF(E159&lt;=0.005,0,MIN(E159,F159-G159))</f>
        <v>501.3222421658261</v>
      </c>
      <c r="I159" s="24">
        <f>MIN(E159-H159,SUMPRODUCT((YEAR(Hipoteca!$H$4:$H$15)=YEAR(C159))*(MONTH(Hipoteca!$H$4:$H$15)=MONTH(C159))*(Hipoteca!$H$4:$H$15&lt;&gt;"")*Hipoteca!$I$4:$I$15))</f>
        <v>0</v>
      </c>
      <c r="J159" s="24">
        <f>MAX(0,E159-H159-I159)</f>
        <v>100993.06172559313</v>
      </c>
      <c r="K159" s="21">
        <f>IF(E159&lt;=0.005,0,IF(Hipoteca!$C$8="Reducir cuota",$K$6-(B159-1),IFERROR(MAX(1,ROUNDUP(NPER(D158/12,-F158,E159),0)),$K$6-(B159-1))))</f>
        <v>166</v>
      </c>
      <c r="L159" s="21">
        <f>YEAR(C159)</f>
        <v>2039</v>
      </c>
      <c r="N159" s="25">
        <f>R158</f>
        <v>121824.5726941376</v>
      </c>
      <c r="O159" s="25">
        <f>IF(N159&lt;=0.005,0,IF(D159&lt;&gt;D158,PMT(D159/12,Hipoteca!$C$5*12-(B159-1),-N159),O158))</f>
        <v>748.6477272887904</v>
      </c>
      <c r="P159" s="25">
        <f>N159*D159/12</f>
        <v>294.4093840108325</v>
      </c>
      <c r="Q159" s="25">
        <f>IF(N159&lt;=0.005,0,MIN(N159,O159-P159))</f>
        <v>454.2383432779579</v>
      </c>
      <c r="R159" s="25">
        <f>MAX(0,N159-Q159)</f>
        <v>121370.33435085964</v>
      </c>
    </row>
    <row r="160" spans="2:18" ht="18" customHeight="1">
      <c r="B160" s="21">
        <f>ROW()-5</f>
        <v>155</v>
      </c>
      <c r="C160" s="22">
        <f>EDATE(Hipoteca!$C$7,B160-1)</f>
        <v>51014.0</v>
      </c>
      <c r="D160" s="23">
        <f>IFERROR(LOOKUP(2,1/((Hipoteca!$E$4:$E$9&lt;&gt;"")*(Hipoteca!$E$4:$E$9&lt;=C160)),Hipoteca!$F$4:$F$9),Hipoteca!$C$6)</f>
        <v>0.029</v>
      </c>
      <c r="E160" s="24">
        <f>J159</f>
        <v>100993.06172559313</v>
      </c>
      <c r="F160" s="24">
        <f>IF(E160&lt;=0.005,0,MIN(E160*(1+D160/12),IF(OR(Hipoteca!$C$8="Reducir cuota",D160&lt;&gt;D159),PMT(D160/12,K160,-E160),F159)))</f>
        <v>746.6003367545769</v>
      </c>
      <c r="G160" s="24">
        <f>E160*D160/12</f>
        <v>244.06656583685006</v>
      </c>
      <c r="H160" s="24">
        <f>IF(E160&lt;=0.005,0,MIN(E160,F160-G160))</f>
        <v>502.5337709177269</v>
      </c>
      <c r="I160" s="24">
        <f>MIN(E160-H160,SUMPRODUCT((YEAR(Hipoteca!$H$4:$H$15)=YEAR(C160))*(MONTH(Hipoteca!$H$4:$H$15)=MONTH(C160))*(Hipoteca!$H$4:$H$15&lt;&gt;"")*Hipoteca!$I$4:$I$15))</f>
        <v>0</v>
      </c>
      <c r="J160" s="24">
        <f>MAX(0,E160-H160-I160)</f>
        <v>100490.5279546754</v>
      </c>
      <c r="K160" s="21">
        <f>IF(E160&lt;=0.005,0,IF(Hipoteca!$C$8="Reducir cuota",$K$6-(B160-1),IFERROR(MAX(1,ROUNDUP(NPER(D159/12,-F159,E160),0)),$K$6-(B160-1))))</f>
        <v>165</v>
      </c>
      <c r="L160" s="21">
        <f>YEAR(C160)</f>
        <v>2039</v>
      </c>
      <c r="N160" s="25">
        <f>R159</f>
        <v>121370.33435085964</v>
      </c>
      <c r="O160" s="25">
        <f>IF(N160&lt;=0.005,0,IF(D160&lt;&gt;D159,PMT(D160/12,Hipoteca!$C$5*12-(B160-1),-N160),O159))</f>
        <v>748.6477272887904</v>
      </c>
      <c r="P160" s="25">
        <f>N160*D160/12</f>
        <v>293.31164134791084</v>
      </c>
      <c r="Q160" s="25">
        <f>IF(N160&lt;=0.005,0,MIN(N160,O160-P160))</f>
        <v>455.33608594087957</v>
      </c>
      <c r="R160" s="25">
        <f>MAX(0,N160-Q160)</f>
        <v>120914.99826491876</v>
      </c>
    </row>
    <row r="161" spans="2:18" ht="18" customHeight="1">
      <c r="B161" s="21">
        <f>ROW()-5</f>
        <v>156</v>
      </c>
      <c r="C161" s="22">
        <f>EDATE(Hipoteca!$C$7,B161-1)</f>
        <v>51044.0</v>
      </c>
      <c r="D161" s="23">
        <f>IFERROR(LOOKUP(2,1/((Hipoteca!$E$4:$E$9&lt;&gt;"")*(Hipoteca!$E$4:$E$9&lt;=C161)),Hipoteca!$F$4:$F$9),Hipoteca!$C$6)</f>
        <v>0.029</v>
      </c>
      <c r="E161" s="24">
        <f>J160</f>
        <v>100490.5279546754</v>
      </c>
      <c r="F161" s="24">
        <f>IF(E161&lt;=0.005,0,MIN(E161*(1+D161/12),IF(OR(Hipoteca!$C$8="Reducir cuota",D161&lt;&gt;D160),PMT(D161/12,K161,-E161),F160)))</f>
        <v>746.6003367545769</v>
      </c>
      <c r="G161" s="24">
        <f>E161*D161/12</f>
        <v>242.85210922379892</v>
      </c>
      <c r="H161" s="24">
        <f>IF(E161&lt;=0.005,0,MIN(E161,F161-G161))</f>
        <v>503.74822753077797</v>
      </c>
      <c r="I161" s="24">
        <f>MIN(E161-H161,SUMPRODUCT((YEAR(Hipoteca!$H$4:$H$15)=YEAR(C161))*(MONTH(Hipoteca!$H$4:$H$15)=MONTH(C161))*(Hipoteca!$H$4:$H$15&lt;&gt;"")*Hipoteca!$I$4:$I$15))</f>
        <v>0</v>
      </c>
      <c r="J161" s="24">
        <f>MAX(0,E161-H161-I161)</f>
        <v>99986.77972714462</v>
      </c>
      <c r="K161" s="21">
        <f>IF(E161&lt;=0.005,0,IF(Hipoteca!$C$8="Reducir cuota",$K$6-(B161-1),IFERROR(MAX(1,ROUNDUP(NPER(D160/12,-F160,E161),0)),$K$6-(B161-1))))</f>
        <v>164</v>
      </c>
      <c r="L161" s="21">
        <f>YEAR(C161)</f>
        <v>2039</v>
      </c>
      <c r="N161" s="25">
        <f>R160</f>
        <v>120914.99826491876</v>
      </c>
      <c r="O161" s="25">
        <f>IF(N161&lt;=0.005,0,IF(D161&lt;&gt;D160,PMT(D161/12,Hipoteca!$C$5*12-(B161-1),-N161),O160))</f>
        <v>748.6477272887904</v>
      </c>
      <c r="P161" s="25">
        <f>N161*D161/12</f>
        <v>292.211245806887</v>
      </c>
      <c r="Q161" s="25">
        <f>IF(N161&lt;=0.005,0,MIN(N161,O161-P161))</f>
        <v>456.4364814819034</v>
      </c>
      <c r="R161" s="25">
        <f>MAX(0,N161-Q161)</f>
        <v>120458.56178343686</v>
      </c>
    </row>
    <row r="162" spans="2:18" ht="18" customHeight="1">
      <c r="B162" s="21">
        <f>ROW()-5</f>
        <v>157</v>
      </c>
      <c r="C162" s="22">
        <f>EDATE(Hipoteca!$C$7,B162-1)</f>
        <v>51075.0</v>
      </c>
      <c r="D162" s="23">
        <f>IFERROR(LOOKUP(2,1/((Hipoteca!$E$4:$E$9&lt;&gt;"")*(Hipoteca!$E$4:$E$9&lt;=C162)),Hipoteca!$F$4:$F$9),Hipoteca!$C$6)</f>
        <v>0.029</v>
      </c>
      <c r="E162" s="24">
        <f>J161</f>
        <v>99986.77972714462</v>
      </c>
      <c r="F162" s="24">
        <f>IF(E162&lt;=0.005,0,MIN(E162*(1+D162/12),IF(OR(Hipoteca!$C$8="Reducir cuota",D162&lt;&gt;D161),PMT(D162/12,K162,-E162),F161)))</f>
        <v>746.6003367545769</v>
      </c>
      <c r="G162" s="24">
        <f>E162*D162/12</f>
        <v>241.63471767393284</v>
      </c>
      <c r="H162" s="24">
        <f>IF(E162&lt;=0.005,0,MIN(E162,F162-G162))</f>
        <v>504.96561908064405</v>
      </c>
      <c r="I162" s="24">
        <f>MIN(E162-H162,SUMPRODUCT((YEAR(Hipoteca!$H$4:$H$15)=YEAR(C162))*(MONTH(Hipoteca!$H$4:$H$15)=MONTH(C162))*(Hipoteca!$H$4:$H$15&lt;&gt;"")*Hipoteca!$I$4:$I$15))</f>
        <v>0</v>
      </c>
      <c r="J162" s="24">
        <f>MAX(0,E162-H162-I162)</f>
        <v>99481.81410806398</v>
      </c>
      <c r="K162" s="21">
        <f>IF(E162&lt;=0.005,0,IF(Hipoteca!$C$8="Reducir cuota",$K$6-(B162-1),IFERROR(MAX(1,ROUNDUP(NPER(D161/12,-F161,E162),0)),$K$6-(B162-1))))</f>
        <v>163</v>
      </c>
      <c r="L162" s="21">
        <f>YEAR(C162)</f>
        <v>2039</v>
      </c>
      <c r="N162" s="25">
        <f>R161</f>
        <v>120458.56178343686</v>
      </c>
      <c r="O162" s="25">
        <f>IF(N162&lt;=0.005,0,IF(D162&lt;&gt;D161,PMT(D162/12,Hipoteca!$C$5*12-(B162-1),-N162),O161))</f>
        <v>748.6477272887904</v>
      </c>
      <c r="P162" s="25">
        <f>N162*D162/12</f>
        <v>291.1081909766391</v>
      </c>
      <c r="Q162" s="25">
        <f>IF(N162&lt;=0.005,0,MIN(N162,O162-P162))</f>
        <v>457.5395363121513</v>
      </c>
      <c r="R162" s="25">
        <f>MAX(0,N162-Q162)</f>
        <v>120001.02224712471</v>
      </c>
    </row>
    <row r="163" spans="2:18" ht="18" customHeight="1">
      <c r="B163" s="21">
        <f>ROW()-5</f>
        <v>158</v>
      </c>
      <c r="C163" s="22">
        <f>EDATE(Hipoteca!$C$7,B163-1)</f>
        <v>51105.0</v>
      </c>
      <c r="D163" s="23">
        <f>IFERROR(LOOKUP(2,1/((Hipoteca!$E$4:$E$9&lt;&gt;"")*(Hipoteca!$E$4:$E$9&lt;=C163)),Hipoteca!$F$4:$F$9),Hipoteca!$C$6)</f>
        <v>0.029</v>
      </c>
      <c r="E163" s="24">
        <f>J162</f>
        <v>99481.81410806398</v>
      </c>
      <c r="F163" s="24">
        <f>IF(E163&lt;=0.005,0,MIN(E163*(1+D163/12),IF(OR(Hipoteca!$C$8="Reducir cuota",D163&lt;&gt;D162),PMT(D163/12,K163,-E163),F162)))</f>
        <v>746.6003367545769</v>
      </c>
      <c r="G163" s="24">
        <f>E163*D163/12</f>
        <v>240.41438409448793</v>
      </c>
      <c r="H163" s="24">
        <f>IF(E163&lt;=0.005,0,MIN(E163,F163-G163))</f>
        <v>506.185952660089</v>
      </c>
      <c r="I163" s="24">
        <f>MIN(E163-H163,SUMPRODUCT((YEAR(Hipoteca!$H$4:$H$15)=YEAR(C163))*(MONTH(Hipoteca!$H$4:$H$15)=MONTH(C163))*(Hipoteca!$H$4:$H$15&lt;&gt;"")*Hipoteca!$I$4:$I$15))</f>
        <v>0</v>
      </c>
      <c r="J163" s="24">
        <f>MAX(0,E163-H163-I163)</f>
        <v>98975.62815540389</v>
      </c>
      <c r="K163" s="21">
        <f>IF(E163&lt;=0.005,0,IF(Hipoteca!$C$8="Reducir cuota",$K$6-(B163-1),IFERROR(MAX(1,ROUNDUP(NPER(D162/12,-F162,E163),0)),$K$6-(B163-1))))</f>
        <v>162</v>
      </c>
      <c r="L163" s="21">
        <f>YEAR(C163)</f>
        <v>2039</v>
      </c>
      <c r="N163" s="25">
        <f>R162</f>
        <v>120001.02224712471</v>
      </c>
      <c r="O163" s="25">
        <f>IF(N163&lt;=0.005,0,IF(D163&lt;&gt;D162,PMT(D163/12,Hipoteca!$C$5*12-(B163-1),-N163),O162))</f>
        <v>748.6477272887904</v>
      </c>
      <c r="P163" s="25">
        <f>N163*D163/12</f>
        <v>290.0024704305514</v>
      </c>
      <c r="Q163" s="25">
        <f>IF(N163&lt;=0.005,0,MIN(N163,O163-P163))</f>
        <v>458.645256858239</v>
      </c>
      <c r="R163" s="25">
        <f>MAX(0,N163-Q163)</f>
        <v>119542.37699026646</v>
      </c>
    </row>
    <row r="164" spans="2:18" ht="18" customHeight="1">
      <c r="B164" s="21">
        <f>ROW()-5</f>
        <v>159</v>
      </c>
      <c r="C164" s="22">
        <f>EDATE(Hipoteca!$C$7,B164-1)</f>
        <v>51136.0</v>
      </c>
      <c r="D164" s="23">
        <f>IFERROR(LOOKUP(2,1/((Hipoteca!$E$4:$E$9&lt;&gt;"")*(Hipoteca!$E$4:$E$9&lt;=C164)),Hipoteca!$F$4:$F$9),Hipoteca!$C$6)</f>
        <v>0.029</v>
      </c>
      <c r="E164" s="24">
        <f>J163</f>
        <v>98975.62815540389</v>
      </c>
      <c r="F164" s="24">
        <f>IF(E164&lt;=0.005,0,MIN(E164*(1+D164/12),IF(OR(Hipoteca!$C$8="Reducir cuota",D164&lt;&gt;D163),PMT(D164/12,K164,-E164),F163)))</f>
        <v>746.6003367545769</v>
      </c>
      <c r="G164" s="24">
        <f>E164*D164/12</f>
        <v>239.19110137555938</v>
      </c>
      <c r="H164" s="24">
        <f>IF(E164&lt;=0.005,0,MIN(E164,F164-G164))</f>
        <v>507.40923537901756</v>
      </c>
      <c r="I164" s="24">
        <f>MIN(E164-H164,SUMPRODUCT((YEAR(Hipoteca!$H$4:$H$15)=YEAR(C164))*(MONTH(Hipoteca!$H$4:$H$15)=MONTH(C164))*(Hipoteca!$H$4:$H$15&lt;&gt;"")*Hipoteca!$I$4:$I$15))</f>
        <v>0</v>
      </c>
      <c r="J164" s="24">
        <f>MAX(0,E164-H164-I164)</f>
        <v>98468.21892002487</v>
      </c>
      <c r="K164" s="21">
        <f>IF(E164&lt;=0.005,0,IF(Hipoteca!$C$8="Reducir cuota",$K$6-(B164-1),IFERROR(MAX(1,ROUNDUP(NPER(D163/12,-F163,E164),0)),$K$6-(B164-1))))</f>
        <v>161</v>
      </c>
      <c r="L164" s="21">
        <f>YEAR(C164)</f>
        <v>2040</v>
      </c>
      <c r="N164" s="25">
        <f>R163</f>
        <v>119542.37699026646</v>
      </c>
      <c r="O164" s="25">
        <f>IF(N164&lt;=0.005,0,IF(D164&lt;&gt;D163,PMT(D164/12,Hipoteca!$C$5*12-(B164-1),-N164),O163))</f>
        <v>748.6477272887904</v>
      </c>
      <c r="P164" s="25">
        <f>N164*D164/12</f>
        <v>288.8940777264773</v>
      </c>
      <c r="Q164" s="25">
        <f>IF(N164&lt;=0.005,0,MIN(N164,O164-P164))</f>
        <v>459.7536495623131</v>
      </c>
      <c r="R164" s="25">
        <f>MAX(0,N164-Q164)</f>
        <v>119082.62334070416</v>
      </c>
    </row>
    <row r="165" spans="2:18" ht="18" customHeight="1">
      <c r="B165" s="21">
        <f>ROW()-5</f>
        <v>160</v>
      </c>
      <c r="C165" s="22">
        <f>EDATE(Hipoteca!$C$7,B165-1)</f>
        <v>51167.0</v>
      </c>
      <c r="D165" s="23">
        <f>IFERROR(LOOKUP(2,1/((Hipoteca!$E$4:$E$9&lt;&gt;"")*(Hipoteca!$E$4:$E$9&lt;=C165)),Hipoteca!$F$4:$F$9),Hipoteca!$C$6)</f>
        <v>0.029</v>
      </c>
      <c r="E165" s="24">
        <f>J164</f>
        <v>98468.21892002487</v>
      </c>
      <c r="F165" s="24">
        <f>IF(E165&lt;=0.005,0,MIN(E165*(1+D165/12),IF(OR(Hipoteca!$C$8="Reducir cuota",D165&lt;&gt;D164),PMT(D165/12,K165,-E165),F164)))</f>
        <v>746.6003367545769</v>
      </c>
      <c r="G165" s="24">
        <f>E165*D165/12</f>
        <v>237.96486239006012</v>
      </c>
      <c r="H165" s="24">
        <f>IF(E165&lt;=0.005,0,MIN(E165,F165-G165))</f>
        <v>508.63547436451677</v>
      </c>
      <c r="I165" s="24">
        <f>MIN(E165-H165,SUMPRODUCT((YEAR(Hipoteca!$H$4:$H$15)=YEAR(C165))*(MONTH(Hipoteca!$H$4:$H$15)=MONTH(C165))*(Hipoteca!$H$4:$H$15&lt;&gt;"")*Hipoteca!$I$4:$I$15))</f>
        <v>0</v>
      </c>
      <c r="J165" s="24">
        <f>MAX(0,E165-H165-I165)</f>
        <v>97959.58344566035</v>
      </c>
      <c r="K165" s="21">
        <f>IF(E165&lt;=0.005,0,IF(Hipoteca!$C$8="Reducir cuota",$K$6-(B165-1),IFERROR(MAX(1,ROUNDUP(NPER(D164/12,-F164,E165),0)),$K$6-(B165-1))))</f>
        <v>160</v>
      </c>
      <c r="L165" s="21">
        <f>YEAR(C165)</f>
        <v>2040</v>
      </c>
      <c r="N165" s="25">
        <f>R164</f>
        <v>119082.62334070416</v>
      </c>
      <c r="O165" s="25">
        <f>IF(N165&lt;=0.005,0,IF(D165&lt;&gt;D164,PMT(D165/12,Hipoteca!$C$5*12-(B165-1),-N165),O164))</f>
        <v>748.6477272887904</v>
      </c>
      <c r="P165" s="25">
        <f>N165*D165/12</f>
        <v>287.78300640670176</v>
      </c>
      <c r="Q165" s="25">
        <f>IF(N165&lt;=0.005,0,MIN(N165,O165-P165))</f>
        <v>460.86472088208865</v>
      </c>
      <c r="R165" s="25">
        <f>MAX(0,N165-Q165)</f>
        <v>118621.75861982207</v>
      </c>
    </row>
    <row r="166" spans="2:18" ht="18" customHeight="1">
      <c r="B166" s="21">
        <f>ROW()-5</f>
        <v>161</v>
      </c>
      <c r="C166" s="22">
        <f>EDATE(Hipoteca!$C$7,B166-1)</f>
        <v>51196.0</v>
      </c>
      <c r="D166" s="23">
        <f>IFERROR(LOOKUP(2,1/((Hipoteca!$E$4:$E$9&lt;&gt;"")*(Hipoteca!$E$4:$E$9&lt;=C166)),Hipoteca!$F$4:$F$9),Hipoteca!$C$6)</f>
        <v>0.029</v>
      </c>
      <c r="E166" s="24">
        <f>J165</f>
        <v>97959.58344566035</v>
      </c>
      <c r="F166" s="24">
        <f>IF(E166&lt;=0.005,0,MIN(E166*(1+D166/12),IF(OR(Hipoteca!$C$8="Reducir cuota",D166&lt;&gt;D165),PMT(D166/12,K166,-E166),F165)))</f>
        <v>746.6003367545769</v>
      </c>
      <c r="G166" s="24">
        <f>E166*D166/12</f>
        <v>236.73565999367918</v>
      </c>
      <c r="H166" s="24">
        <f>IF(E166&lt;=0.005,0,MIN(E166,F166-G166))</f>
        <v>509.86467676089774</v>
      </c>
      <c r="I166" s="24">
        <f>MIN(E166-H166,SUMPRODUCT((YEAR(Hipoteca!$H$4:$H$15)=YEAR(C166))*(MONTH(Hipoteca!$H$4:$H$15)=MONTH(C166))*(Hipoteca!$H$4:$H$15&lt;&gt;"")*Hipoteca!$I$4:$I$15))</f>
        <v>0</v>
      </c>
      <c r="J166" s="24">
        <f>MAX(0,E166-H166-I166)</f>
        <v>97449.71876889945</v>
      </c>
      <c r="K166" s="21">
        <f>IF(E166&lt;=0.005,0,IF(Hipoteca!$C$8="Reducir cuota",$K$6-(B166-1),IFERROR(MAX(1,ROUNDUP(NPER(D165/12,-F165,E166),0)),$K$6-(B166-1))))</f>
        <v>159</v>
      </c>
      <c r="L166" s="21">
        <f>YEAR(C166)</f>
        <v>2040</v>
      </c>
      <c r="N166" s="25">
        <f>R165</f>
        <v>118621.75861982207</v>
      </c>
      <c r="O166" s="25">
        <f>IF(N166&lt;=0.005,0,IF(D166&lt;&gt;D165,PMT(D166/12,Hipoteca!$C$5*12-(B166-1),-N166),O165))</f>
        <v>748.6477272887904</v>
      </c>
      <c r="P166" s="25">
        <f>N166*D166/12</f>
        <v>286.66924999790336</v>
      </c>
      <c r="Q166" s="25">
        <f>IF(N166&lt;=0.005,0,MIN(N166,O166-P166))</f>
        <v>461.97847729088704</v>
      </c>
      <c r="R166" s="25">
        <f>MAX(0,N166-Q166)</f>
        <v>118159.78014253118</v>
      </c>
    </row>
    <row r="167" spans="2:18" ht="18" customHeight="1">
      <c r="B167" s="21">
        <f>ROW()-5</f>
        <v>162</v>
      </c>
      <c r="C167" s="22">
        <f>EDATE(Hipoteca!$C$7,B167-1)</f>
        <v>51227.0</v>
      </c>
      <c r="D167" s="23">
        <f>IFERROR(LOOKUP(2,1/((Hipoteca!$E$4:$E$9&lt;&gt;"")*(Hipoteca!$E$4:$E$9&lt;=C167)),Hipoteca!$F$4:$F$9),Hipoteca!$C$6)</f>
        <v>0.029</v>
      </c>
      <c r="E167" s="24">
        <f>J166</f>
        <v>97449.71876889945</v>
      </c>
      <c r="F167" s="24">
        <f>IF(E167&lt;=0.005,0,MIN(E167*(1+D167/12),IF(OR(Hipoteca!$C$8="Reducir cuota",D167&lt;&gt;D166),PMT(D167/12,K167,-E167),F166)))</f>
        <v>746.6003367545769</v>
      </c>
      <c r="G167" s="24">
        <f>E167*D167/12</f>
        <v>235.50348702484033</v>
      </c>
      <c r="H167" s="24">
        <f>IF(E167&lt;=0.005,0,MIN(E167,F167-G167))</f>
        <v>511.0968497297366</v>
      </c>
      <c r="I167" s="24">
        <f>MIN(E167-H167,SUMPRODUCT((YEAR(Hipoteca!$H$4:$H$15)=YEAR(C167))*(MONTH(Hipoteca!$H$4:$H$15)=MONTH(C167))*(Hipoteca!$H$4:$H$15&lt;&gt;"")*Hipoteca!$I$4:$I$15))</f>
        <v>0</v>
      </c>
      <c r="J167" s="24">
        <f>MAX(0,E167-H167-I167)</f>
        <v>96938.6219191697</v>
      </c>
      <c r="K167" s="21">
        <f>IF(E167&lt;=0.005,0,IF(Hipoteca!$C$8="Reducir cuota",$K$6-(B167-1),IFERROR(MAX(1,ROUNDUP(NPER(D166/12,-F166,E167),0)),$K$6-(B167-1))))</f>
        <v>158</v>
      </c>
      <c r="L167" s="21">
        <f>YEAR(C167)</f>
        <v>2040</v>
      </c>
      <c r="N167" s="25">
        <f>R166</f>
        <v>118159.78014253118</v>
      </c>
      <c r="O167" s="25">
        <f>IF(N167&lt;=0.005,0,IF(D167&lt;&gt;D166,PMT(D167/12,Hipoteca!$C$5*12-(B167-1),-N167),O166))</f>
        <v>748.6477272887904</v>
      </c>
      <c r="P167" s="25">
        <f>N167*D167/12</f>
        <v>285.552802011117</v>
      </c>
      <c r="Q167" s="25">
        <f>IF(N167&lt;=0.005,0,MIN(N167,O167-P167))</f>
        <v>463.0949252776734</v>
      </c>
      <c r="R167" s="25">
        <f>MAX(0,N167-Q167)</f>
        <v>117696.6852172535</v>
      </c>
    </row>
    <row r="168" spans="2:18" ht="18" customHeight="1">
      <c r="B168" s="21">
        <f>ROW()-5</f>
        <v>163</v>
      </c>
      <c r="C168" s="22">
        <f>EDATE(Hipoteca!$C$7,B168-1)</f>
        <v>51257.0</v>
      </c>
      <c r="D168" s="23">
        <f>IFERROR(LOOKUP(2,1/((Hipoteca!$E$4:$E$9&lt;&gt;"")*(Hipoteca!$E$4:$E$9&lt;=C168)),Hipoteca!$F$4:$F$9),Hipoteca!$C$6)</f>
        <v>0.029</v>
      </c>
      <c r="E168" s="24">
        <f>J167</f>
        <v>96938.6219191697</v>
      </c>
      <c r="F168" s="24">
        <f>IF(E168&lt;=0.005,0,MIN(E168*(1+D168/12),IF(OR(Hipoteca!$C$8="Reducir cuota",D168&lt;&gt;D167),PMT(D168/12,K168,-E168),F167)))</f>
        <v>746.6003367545769</v>
      </c>
      <c r="G168" s="24">
        <f>E168*D168/12</f>
        <v>234.26833630466012</v>
      </c>
      <c r="H168" s="24">
        <f>IF(E168&lt;=0.005,0,MIN(E168,F168-G168))</f>
        <v>512.3320004499168</v>
      </c>
      <c r="I168" s="24">
        <f>MIN(E168-H168,SUMPRODUCT((YEAR(Hipoteca!$H$4:$H$15)=YEAR(C168))*(MONTH(Hipoteca!$H$4:$H$15)=MONTH(C168))*(Hipoteca!$H$4:$H$15&lt;&gt;"")*Hipoteca!$I$4:$I$15))</f>
        <v>0</v>
      </c>
      <c r="J168" s="24">
        <f>MAX(0,E168-H168-I168)</f>
        <v>96426.28991871979</v>
      </c>
      <c r="K168" s="21">
        <f>IF(E168&lt;=0.005,0,IF(Hipoteca!$C$8="Reducir cuota",$K$6-(B168-1),IFERROR(MAX(1,ROUNDUP(NPER(D167/12,-F167,E168),0)),$K$6-(B168-1))))</f>
        <v>157</v>
      </c>
      <c r="L168" s="21">
        <f>YEAR(C168)</f>
        <v>2040</v>
      </c>
      <c r="N168" s="25">
        <f>R167</f>
        <v>117696.6852172535</v>
      </c>
      <c r="O168" s="25">
        <f>IF(N168&lt;=0.005,0,IF(D168&lt;&gt;D167,PMT(D168/12,Hipoteca!$C$5*12-(B168-1),-N168),O167))</f>
        <v>748.6477272887904</v>
      </c>
      <c r="P168" s="25">
        <f>N168*D168/12</f>
        <v>284.433655941696</v>
      </c>
      <c r="Q168" s="25">
        <f>IF(N168&lt;=0.005,0,MIN(N168,O168-P168))</f>
        <v>464.21407134709443</v>
      </c>
      <c r="R168" s="25">
        <f>MAX(0,N168-Q168)</f>
        <v>117232.4711459064</v>
      </c>
    </row>
    <row r="169" spans="2:18" ht="18" customHeight="1">
      <c r="B169" s="21">
        <f>ROW()-5</f>
        <v>164</v>
      </c>
      <c r="C169" s="22">
        <f>EDATE(Hipoteca!$C$7,B169-1)</f>
        <v>51288.0</v>
      </c>
      <c r="D169" s="23">
        <f>IFERROR(LOOKUP(2,1/((Hipoteca!$E$4:$E$9&lt;&gt;"")*(Hipoteca!$E$4:$E$9&lt;=C169)),Hipoteca!$F$4:$F$9),Hipoteca!$C$6)</f>
        <v>0.029</v>
      </c>
      <c r="E169" s="24">
        <f>J168</f>
        <v>96426.28991871979</v>
      </c>
      <c r="F169" s="24">
        <f>IF(E169&lt;=0.005,0,MIN(E169*(1+D169/12),IF(OR(Hipoteca!$C$8="Reducir cuota",D169&lt;&gt;D168),PMT(D169/12,K169,-E169),F168)))</f>
        <v>746.6003367545769</v>
      </c>
      <c r="G169" s="24">
        <f>E169*D169/12</f>
        <v>233.0302006369062</v>
      </c>
      <c r="H169" s="24">
        <f>IF(E169&lt;=0.005,0,MIN(E169,F169-G169))</f>
        <v>513.5701361176707</v>
      </c>
      <c r="I169" s="24">
        <f>MIN(E169-H169,SUMPRODUCT((YEAR(Hipoteca!$H$4:$H$15)=YEAR(C169))*(MONTH(Hipoteca!$H$4:$H$15)=MONTH(C169))*(Hipoteca!$H$4:$H$15&lt;&gt;"")*Hipoteca!$I$4:$I$15))</f>
        <v>0</v>
      </c>
      <c r="J169" s="24">
        <f>MAX(0,E169-H169-I169)</f>
        <v>95912.71978260211</v>
      </c>
      <c r="K169" s="21">
        <f>IF(E169&lt;=0.005,0,IF(Hipoteca!$C$8="Reducir cuota",$K$6-(B169-1),IFERROR(MAX(1,ROUNDUP(NPER(D168/12,-F168,E169),0)),$K$6-(B169-1))))</f>
        <v>156</v>
      </c>
      <c r="L169" s="21">
        <f>YEAR(C169)</f>
        <v>2040</v>
      </c>
      <c r="N169" s="25">
        <f>R168</f>
        <v>117232.4711459064</v>
      </c>
      <c r="O169" s="25">
        <f>IF(N169&lt;=0.005,0,IF(D169&lt;&gt;D168,PMT(D169/12,Hipoteca!$C$5*12-(B169-1),-N169),O168))</f>
        <v>748.6477272887904</v>
      </c>
      <c r="P169" s="25">
        <f>N169*D169/12</f>
        <v>283.3118052692738</v>
      </c>
      <c r="Q169" s="25">
        <f>IF(N169&lt;=0.005,0,MIN(N169,O169-P169))</f>
        <v>465.3359220195166</v>
      </c>
      <c r="R169" s="25">
        <f>MAX(0,N169-Q169)</f>
        <v>116767.13522388689</v>
      </c>
    </row>
    <row r="170" spans="2:18" ht="18" customHeight="1">
      <c r="B170" s="21">
        <f>ROW()-5</f>
        <v>165</v>
      </c>
      <c r="C170" s="22">
        <f>EDATE(Hipoteca!$C$7,B170-1)</f>
        <v>51318.0</v>
      </c>
      <c r="D170" s="23">
        <f>IFERROR(LOOKUP(2,1/((Hipoteca!$E$4:$E$9&lt;&gt;"")*(Hipoteca!$E$4:$E$9&lt;=C170)),Hipoteca!$F$4:$F$9),Hipoteca!$C$6)</f>
        <v>0.029</v>
      </c>
      <c r="E170" s="24">
        <f>J169</f>
        <v>95912.71978260211</v>
      </c>
      <c r="F170" s="24">
        <f>IF(E170&lt;=0.005,0,MIN(E170*(1+D170/12),IF(OR(Hipoteca!$C$8="Reducir cuota",D170&lt;&gt;D169),PMT(D170/12,K170,-E170),F169)))</f>
        <v>746.6003367545769</v>
      </c>
      <c r="G170" s="24">
        <f>E170*D170/12</f>
        <v>231.7890728079551</v>
      </c>
      <c r="H170" s="24">
        <f>IF(E170&lt;=0.005,0,MIN(E170,F170-G170))</f>
        <v>514.8112639466218</v>
      </c>
      <c r="I170" s="24">
        <f>MIN(E170-H170,SUMPRODUCT((YEAR(Hipoteca!$H$4:$H$15)=YEAR(C170))*(MONTH(Hipoteca!$H$4:$H$15)=MONTH(C170))*(Hipoteca!$H$4:$H$15&lt;&gt;"")*Hipoteca!$I$4:$I$15))</f>
        <v>0</v>
      </c>
      <c r="J170" s="24">
        <f>MAX(0,E170-H170-I170)</f>
        <v>95397.90851865549</v>
      </c>
      <c r="K170" s="21">
        <f>IF(E170&lt;=0.005,0,IF(Hipoteca!$C$8="Reducir cuota",$K$6-(B170-1),IFERROR(MAX(1,ROUNDUP(NPER(D169/12,-F169,E170),0)),$K$6-(B170-1))))</f>
        <v>155</v>
      </c>
      <c r="L170" s="21">
        <f>YEAR(C170)</f>
        <v>2040</v>
      </c>
      <c r="N170" s="25">
        <f>R169</f>
        <v>116767.13522388689</v>
      </c>
      <c r="O170" s="25">
        <f>IF(N170&lt;=0.005,0,IF(D170&lt;&gt;D169,PMT(D170/12,Hipoteca!$C$5*12-(B170-1),-N170),O169))</f>
        <v>748.6477272887904</v>
      </c>
      <c r="P170" s="25">
        <f>N170*D170/12</f>
        <v>282.18724345772665</v>
      </c>
      <c r="Q170" s="25">
        <f>IF(N170&lt;=0.005,0,MIN(N170,O170-P170))</f>
        <v>466.46048383106375</v>
      </c>
      <c r="R170" s="25">
        <f>MAX(0,N170-Q170)</f>
        <v>116300.67474005582</v>
      </c>
    </row>
    <row r="171" spans="2:18" ht="18" customHeight="1">
      <c r="B171" s="21">
        <f>ROW()-5</f>
        <v>166</v>
      </c>
      <c r="C171" s="22">
        <f>EDATE(Hipoteca!$C$7,B171-1)</f>
        <v>51349.0</v>
      </c>
      <c r="D171" s="23">
        <f>IFERROR(LOOKUP(2,1/((Hipoteca!$E$4:$E$9&lt;&gt;"")*(Hipoteca!$E$4:$E$9&lt;=C171)),Hipoteca!$F$4:$F$9),Hipoteca!$C$6)</f>
        <v>0.029</v>
      </c>
      <c r="E171" s="24">
        <f>J170</f>
        <v>95397.90851865549</v>
      </c>
      <c r="F171" s="24">
        <f>IF(E171&lt;=0.005,0,MIN(E171*(1+D171/12),IF(OR(Hipoteca!$C$8="Reducir cuota",D171&lt;&gt;D170),PMT(D171/12,K171,-E171),F170)))</f>
        <v>746.6003367545769</v>
      </c>
      <c r="G171" s="24">
        <f>E171*D171/12</f>
        <v>230.5449455867508</v>
      </c>
      <c r="H171" s="24">
        <f>IF(E171&lt;=0.005,0,MIN(E171,F171-G171))</f>
        <v>516.0553911678261</v>
      </c>
      <c r="I171" s="24">
        <f>MIN(E171-H171,SUMPRODUCT((YEAR(Hipoteca!$H$4:$H$15)=YEAR(C171))*(MONTH(Hipoteca!$H$4:$H$15)=MONTH(C171))*(Hipoteca!$H$4:$H$15&lt;&gt;"")*Hipoteca!$I$4:$I$15))</f>
        <v>0</v>
      </c>
      <c r="J171" s="24">
        <f>MAX(0,E171-H171-I171)</f>
        <v>94881.85312748766</v>
      </c>
      <c r="K171" s="21">
        <f>IF(E171&lt;=0.005,0,IF(Hipoteca!$C$8="Reducir cuota",$K$6-(B171-1),IFERROR(MAX(1,ROUNDUP(NPER(D170/12,-F170,E171),0)),$K$6-(B171-1))))</f>
        <v>154</v>
      </c>
      <c r="L171" s="21">
        <f>YEAR(C171)</f>
        <v>2040</v>
      </c>
      <c r="N171" s="25">
        <f>R170</f>
        <v>116300.67474005582</v>
      </c>
      <c r="O171" s="25">
        <f>IF(N171&lt;=0.005,0,IF(D171&lt;&gt;D170,PMT(D171/12,Hipoteca!$C$5*12-(B171-1),-N171),O170))</f>
        <v>748.6477272887904</v>
      </c>
      <c r="P171" s="25">
        <f>N171*D171/12</f>
        <v>281.05996395513495</v>
      </c>
      <c r="Q171" s="25">
        <f>IF(N171&lt;=0.005,0,MIN(N171,O171-P171))</f>
        <v>467.58776333365546</v>
      </c>
      <c r="R171" s="25">
        <f>MAX(0,N171-Q171)</f>
        <v>115833.08697672217</v>
      </c>
    </row>
    <row r="172" spans="2:18" ht="18" customHeight="1">
      <c r="B172" s="21">
        <f>ROW()-5</f>
        <v>167</v>
      </c>
      <c r="C172" s="22">
        <f>EDATE(Hipoteca!$C$7,B172-1)</f>
        <v>51380.0</v>
      </c>
      <c r="D172" s="23">
        <f>IFERROR(LOOKUP(2,1/((Hipoteca!$E$4:$E$9&lt;&gt;"")*(Hipoteca!$E$4:$E$9&lt;=C172)),Hipoteca!$F$4:$F$9),Hipoteca!$C$6)</f>
        <v>0.029</v>
      </c>
      <c r="E172" s="24">
        <f>J171</f>
        <v>94881.85312748766</v>
      </c>
      <c r="F172" s="24">
        <f>IF(E172&lt;=0.005,0,MIN(E172*(1+D172/12),IF(OR(Hipoteca!$C$8="Reducir cuota",D172&lt;&gt;D171),PMT(D172/12,K172,-E172),F171)))</f>
        <v>746.6003367545769</v>
      </c>
      <c r="G172" s="24">
        <f>E172*D172/12</f>
        <v>229.29781172476183</v>
      </c>
      <c r="H172" s="24">
        <f>IF(E172&lt;=0.005,0,MIN(E172,F172-G172))</f>
        <v>517.3025250298151</v>
      </c>
      <c r="I172" s="24">
        <f>MIN(E172-H172,SUMPRODUCT((YEAR(Hipoteca!$H$4:$H$15)=YEAR(C172))*(MONTH(Hipoteca!$H$4:$H$15)=MONTH(C172))*(Hipoteca!$H$4:$H$15&lt;&gt;"")*Hipoteca!$I$4:$I$15))</f>
        <v>0</v>
      </c>
      <c r="J172" s="24">
        <f>MAX(0,E172-H172-I172)</f>
        <v>94364.55060245785</v>
      </c>
      <c r="K172" s="21">
        <f>IF(E172&lt;=0.005,0,IF(Hipoteca!$C$8="Reducir cuota",$K$6-(B172-1),IFERROR(MAX(1,ROUNDUP(NPER(D171/12,-F171,E172),0)),$K$6-(B172-1))))</f>
        <v>153</v>
      </c>
      <c r="L172" s="21">
        <f>YEAR(C172)</f>
        <v>2040</v>
      </c>
      <c r="N172" s="25">
        <f>R171</f>
        <v>115833.08697672217</v>
      </c>
      <c r="O172" s="25">
        <f>IF(N172&lt;=0.005,0,IF(D172&lt;&gt;D171,PMT(D172/12,Hipoteca!$C$5*12-(B172-1),-N172),O171))</f>
        <v>748.6477272887904</v>
      </c>
      <c r="P172" s="25">
        <f>N172*D172/12</f>
        <v>279.9299601937453</v>
      </c>
      <c r="Q172" s="25">
        <f>IF(N172&lt;=0.005,0,MIN(N172,O172-P172))</f>
        <v>468.71776709504513</v>
      </c>
      <c r="R172" s="25">
        <f>MAX(0,N172-Q172)</f>
        <v>115364.36920962713</v>
      </c>
    </row>
    <row r="173" spans="2:18" ht="18" customHeight="1">
      <c r="B173" s="21">
        <f>ROW()-5</f>
        <v>168</v>
      </c>
      <c r="C173" s="22">
        <f>EDATE(Hipoteca!$C$7,B173-1)</f>
        <v>51410.0</v>
      </c>
      <c r="D173" s="23">
        <f>IFERROR(LOOKUP(2,1/((Hipoteca!$E$4:$E$9&lt;&gt;"")*(Hipoteca!$E$4:$E$9&lt;=C173)),Hipoteca!$F$4:$F$9),Hipoteca!$C$6)</f>
        <v>0.029</v>
      </c>
      <c r="E173" s="24">
        <f>J172</f>
        <v>94364.55060245785</v>
      </c>
      <c r="F173" s="24">
        <f>IF(E173&lt;=0.005,0,MIN(E173*(1+D173/12),IF(OR(Hipoteca!$C$8="Reducir cuota",D173&lt;&gt;D172),PMT(D173/12,K173,-E173),F172)))</f>
        <v>746.6003367545769</v>
      </c>
      <c r="G173" s="24">
        <f>E173*D173/12</f>
        <v>228.0476639559398</v>
      </c>
      <c r="H173" s="24">
        <f>IF(E173&lt;=0.005,0,MIN(E173,F173-G173))</f>
        <v>518.5526727986371</v>
      </c>
      <c r="I173" s="24">
        <f>MIN(E173-H173,SUMPRODUCT((YEAR(Hipoteca!$H$4:$H$15)=YEAR(C173))*(MONTH(Hipoteca!$H$4:$H$15)=MONTH(C173))*(Hipoteca!$H$4:$H$15&lt;&gt;"")*Hipoteca!$I$4:$I$15))</f>
        <v>0</v>
      </c>
      <c r="J173" s="24">
        <f>MAX(0,E173-H173-I173)</f>
        <v>93845.9979296592</v>
      </c>
      <c r="K173" s="21">
        <f>IF(E173&lt;=0.005,0,IF(Hipoteca!$C$8="Reducir cuota",$K$6-(B173-1),IFERROR(MAX(1,ROUNDUP(NPER(D172/12,-F172,E173),0)),$K$6-(B173-1))))</f>
        <v>152</v>
      </c>
      <c r="L173" s="21">
        <f>YEAR(C173)</f>
        <v>2040</v>
      </c>
      <c r="N173" s="25">
        <f>R172</f>
        <v>115364.36920962713</v>
      </c>
      <c r="O173" s="25">
        <f>IF(N173&lt;=0.005,0,IF(D173&lt;&gt;D172,PMT(D173/12,Hipoteca!$C$5*12-(B173-1),-N173),O172))</f>
        <v>748.6477272887904</v>
      </c>
      <c r="P173" s="25">
        <f>N173*D173/12</f>
        <v>278.7972255899322</v>
      </c>
      <c r="Q173" s="25">
        <f>IF(N173&lt;=0.005,0,MIN(N173,O173-P173))</f>
        <v>469.8505016988582</v>
      </c>
      <c r="R173" s="25">
        <f>MAX(0,N173-Q173)</f>
        <v>114894.51870792826</v>
      </c>
    </row>
    <row r="174" spans="2:18" ht="18" customHeight="1">
      <c r="B174" s="21">
        <f>ROW()-5</f>
        <v>169</v>
      </c>
      <c r="C174" s="22">
        <f>EDATE(Hipoteca!$C$7,B174-1)</f>
        <v>51441.0</v>
      </c>
      <c r="D174" s="23">
        <f>IFERROR(LOOKUP(2,1/((Hipoteca!$E$4:$E$9&lt;&gt;"")*(Hipoteca!$E$4:$E$9&lt;=C174)),Hipoteca!$F$4:$F$9),Hipoteca!$C$6)</f>
        <v>0.029</v>
      </c>
      <c r="E174" s="24">
        <f>J173</f>
        <v>93845.9979296592</v>
      </c>
      <c r="F174" s="24">
        <f>IF(E174&lt;=0.005,0,MIN(E174*(1+D174/12),IF(OR(Hipoteca!$C$8="Reducir cuota",D174&lt;&gt;D173),PMT(D174/12,K174,-E174),F173)))</f>
        <v>746.6003367545769</v>
      </c>
      <c r="G174" s="24">
        <f>E174*D174/12</f>
        <v>226.79449499667643</v>
      </c>
      <c r="H174" s="24">
        <f>IF(E174&lt;=0.005,0,MIN(E174,F174-G174))</f>
        <v>519.8058417579005</v>
      </c>
      <c r="I174" s="24">
        <f>MIN(E174-H174,SUMPRODUCT((YEAR(Hipoteca!$H$4:$H$15)=YEAR(C174))*(MONTH(Hipoteca!$H$4:$H$15)=MONTH(C174))*(Hipoteca!$H$4:$H$15&lt;&gt;"")*Hipoteca!$I$4:$I$15))</f>
        <v>0</v>
      </c>
      <c r="J174" s="24">
        <f>MAX(0,E174-H174-I174)</f>
        <v>93326.1920879013</v>
      </c>
      <c r="K174" s="21">
        <f>IF(E174&lt;=0.005,0,IF(Hipoteca!$C$8="Reducir cuota",$K$6-(B174-1),IFERROR(MAX(1,ROUNDUP(NPER(D173/12,-F173,E174),0)),$K$6-(B174-1))))</f>
        <v>151</v>
      </c>
      <c r="L174" s="21">
        <f>YEAR(C174)</f>
        <v>2040</v>
      </c>
      <c r="N174" s="25">
        <f>R173</f>
        <v>114894.51870792826</v>
      </c>
      <c r="O174" s="25">
        <f>IF(N174&lt;=0.005,0,IF(D174&lt;&gt;D173,PMT(D174/12,Hipoteca!$C$5*12-(B174-1),-N174),O173))</f>
        <v>748.6477272887904</v>
      </c>
      <c r="P174" s="25">
        <f>N174*D174/12</f>
        <v>277.66175354416</v>
      </c>
      <c r="Q174" s="25">
        <f>IF(N174&lt;=0.005,0,MIN(N174,O174-P174))</f>
        <v>470.9859737446304</v>
      </c>
      <c r="R174" s="25">
        <f>MAX(0,N174-Q174)</f>
        <v>114423.53273418364</v>
      </c>
    </row>
    <row r="175" spans="2:18" ht="18" customHeight="1">
      <c r="B175" s="21">
        <f>ROW()-5</f>
        <v>170</v>
      </c>
      <c r="C175" s="22">
        <f>EDATE(Hipoteca!$C$7,B175-1)</f>
        <v>51471.0</v>
      </c>
      <c r="D175" s="23">
        <f>IFERROR(LOOKUP(2,1/((Hipoteca!$E$4:$E$9&lt;&gt;"")*(Hipoteca!$E$4:$E$9&lt;=C175)),Hipoteca!$F$4:$F$9),Hipoteca!$C$6)</f>
        <v>0.029</v>
      </c>
      <c r="E175" s="24">
        <f>J174</f>
        <v>93326.1920879013</v>
      </c>
      <c r="F175" s="24">
        <f>IF(E175&lt;=0.005,0,MIN(E175*(1+D175/12),IF(OR(Hipoteca!$C$8="Reducir cuota",D175&lt;&gt;D174),PMT(D175/12,K175,-E175),F174)))</f>
        <v>746.6003367545769</v>
      </c>
      <c r="G175" s="24">
        <f>E175*D175/12</f>
        <v>225.53829754576148</v>
      </c>
      <c r="H175" s="24">
        <f>IF(E175&lt;=0.005,0,MIN(E175,F175-G175))</f>
        <v>521.0620392088155</v>
      </c>
      <c r="I175" s="24">
        <f>MIN(E175-H175,SUMPRODUCT((YEAR(Hipoteca!$H$4:$H$15)=YEAR(C175))*(MONTH(Hipoteca!$H$4:$H$15)=MONTH(C175))*(Hipoteca!$H$4:$H$15&lt;&gt;"")*Hipoteca!$I$4:$I$15))</f>
        <v>0</v>
      </c>
      <c r="J175" s="24">
        <f>MAX(0,E175-H175-I175)</f>
        <v>92805.13004869249</v>
      </c>
      <c r="K175" s="21">
        <f>IF(E175&lt;=0.005,0,IF(Hipoteca!$C$8="Reducir cuota",$K$6-(B175-1),IFERROR(MAX(1,ROUNDUP(NPER(D174/12,-F174,E175),0)),$K$6-(B175-1))))</f>
        <v>150</v>
      </c>
      <c r="L175" s="21">
        <f>YEAR(C175)</f>
        <v>2040</v>
      </c>
      <c r="N175" s="25">
        <f>R174</f>
        <v>114423.53273418364</v>
      </c>
      <c r="O175" s="25">
        <f>IF(N175&lt;=0.005,0,IF(D175&lt;&gt;D174,PMT(D175/12,Hipoteca!$C$5*12-(B175-1),-N175),O174))</f>
        <v>748.6477272887904</v>
      </c>
      <c r="P175" s="25">
        <f>N175*D175/12</f>
        <v>276.5235374409438</v>
      </c>
      <c r="Q175" s="25">
        <f>IF(N175&lt;=0.005,0,MIN(N175,O175-P175))</f>
        <v>472.1241898478466</v>
      </c>
      <c r="R175" s="25">
        <f>MAX(0,N175-Q175)</f>
        <v>113951.40854433579</v>
      </c>
    </row>
    <row r="176" spans="2:18" ht="18" customHeight="1">
      <c r="B176" s="21">
        <f>ROW()-5</f>
        <v>171</v>
      </c>
      <c r="C176" s="22">
        <f>EDATE(Hipoteca!$C$7,B176-1)</f>
        <v>51502.0</v>
      </c>
      <c r="D176" s="23">
        <f>IFERROR(LOOKUP(2,1/((Hipoteca!$E$4:$E$9&lt;&gt;"")*(Hipoteca!$E$4:$E$9&lt;=C176)),Hipoteca!$F$4:$F$9),Hipoteca!$C$6)</f>
        <v>0.029</v>
      </c>
      <c r="E176" s="24">
        <f>J175</f>
        <v>92805.13004869249</v>
      </c>
      <c r="F176" s="24">
        <f>IF(E176&lt;=0.005,0,MIN(E176*(1+D176/12),IF(OR(Hipoteca!$C$8="Reducir cuota",D176&lt;&gt;D175),PMT(D176/12,K176,-E176),F175)))</f>
        <v>746.6003367545769</v>
      </c>
      <c r="G176" s="24">
        <f>E176*D176/12</f>
        <v>224.2790642843402</v>
      </c>
      <c r="H176" s="24">
        <f>IF(E176&lt;=0.005,0,MIN(E176,F176-G176))</f>
        <v>522.3212724702367</v>
      </c>
      <c r="I176" s="24">
        <f>MIN(E176-H176,SUMPRODUCT((YEAR(Hipoteca!$H$4:$H$15)=YEAR(C176))*(MONTH(Hipoteca!$H$4:$H$15)=MONTH(C176))*(Hipoteca!$H$4:$H$15&lt;&gt;"")*Hipoteca!$I$4:$I$15))</f>
        <v>0</v>
      </c>
      <c r="J176" s="24">
        <f>MAX(0,E176-H176-I176)</f>
        <v>92282.80877622226</v>
      </c>
      <c r="K176" s="21">
        <f>IF(E176&lt;=0.005,0,IF(Hipoteca!$C$8="Reducir cuota",$K$6-(B176-1),IFERROR(MAX(1,ROUNDUP(NPER(D175/12,-F175,E176),0)),$K$6-(B176-1))))</f>
        <v>149</v>
      </c>
      <c r="L176" s="21">
        <f>YEAR(C176)</f>
        <v>2041</v>
      </c>
      <c r="N176" s="25">
        <f>R175</f>
        <v>113951.40854433579</v>
      </c>
      <c r="O176" s="25">
        <f>IF(N176&lt;=0.005,0,IF(D176&lt;&gt;D175,PMT(D176/12,Hipoteca!$C$5*12-(B176-1),-N176),O175))</f>
        <v>748.6477272887904</v>
      </c>
      <c r="P176" s="25">
        <f>N176*D176/12</f>
        <v>275.3825706488115</v>
      </c>
      <c r="Q176" s="25">
        <f>IF(N176&lt;=0.005,0,MIN(N176,O176-P176))</f>
        <v>473.2651566399789</v>
      </c>
      <c r="R176" s="25">
        <f>MAX(0,N176-Q176)</f>
        <v>113478.14338769582</v>
      </c>
    </row>
    <row r="177" spans="2:18" ht="18" customHeight="1">
      <c r="B177" s="21">
        <f>ROW()-5</f>
        <v>172</v>
      </c>
      <c r="C177" s="22">
        <f>EDATE(Hipoteca!$C$7,B177-1)</f>
        <v>51533.0</v>
      </c>
      <c r="D177" s="23">
        <f>IFERROR(LOOKUP(2,1/((Hipoteca!$E$4:$E$9&lt;&gt;"")*(Hipoteca!$E$4:$E$9&lt;=C177)),Hipoteca!$F$4:$F$9),Hipoteca!$C$6)</f>
        <v>0.029</v>
      </c>
      <c r="E177" s="24">
        <f>J176</f>
        <v>92282.80877622226</v>
      </c>
      <c r="F177" s="24">
        <f>IF(E177&lt;=0.005,0,MIN(E177*(1+D177/12),IF(OR(Hipoteca!$C$8="Reducir cuota",D177&lt;&gt;D176),PMT(D177/12,K177,-E177),F176)))</f>
        <v>746.6003367545769</v>
      </c>
      <c r="G177" s="24">
        <f>E177*D177/12</f>
        <v>223.01678787587048</v>
      </c>
      <c r="H177" s="24">
        <f>IF(E177&lt;=0.005,0,MIN(E177,F177-G177))</f>
        <v>523.5835488787064</v>
      </c>
      <c r="I177" s="24">
        <f>MIN(E177-H177,SUMPRODUCT((YEAR(Hipoteca!$H$4:$H$15)=YEAR(C177))*(MONTH(Hipoteca!$H$4:$H$15)=MONTH(C177))*(Hipoteca!$H$4:$H$15&lt;&gt;"")*Hipoteca!$I$4:$I$15))</f>
        <v>0</v>
      </c>
      <c r="J177" s="24">
        <f>MAX(0,E177-H177-I177)</f>
        <v>91759.22522734354</v>
      </c>
      <c r="K177" s="21">
        <f>IF(E177&lt;=0.005,0,IF(Hipoteca!$C$8="Reducir cuota",$K$6-(B177-1),IFERROR(MAX(1,ROUNDUP(NPER(D176/12,-F176,E177),0)),$K$6-(B177-1))))</f>
        <v>148</v>
      </c>
      <c r="L177" s="21">
        <f>YEAR(C177)</f>
        <v>2041</v>
      </c>
      <c r="N177" s="25">
        <f>R176</f>
        <v>113478.14338769582</v>
      </c>
      <c r="O177" s="25">
        <f>IF(N177&lt;=0.005,0,IF(D177&lt;&gt;D176,PMT(D177/12,Hipoteca!$C$5*12-(B177-1),-N177),O176))</f>
        <v>748.6477272887904</v>
      </c>
      <c r="P177" s="25">
        <f>N177*D177/12</f>
        <v>274.2388465202649</v>
      </c>
      <c r="Q177" s="25">
        <f>IF(N177&lt;=0.005,0,MIN(N177,O177-P177))</f>
        <v>474.40888076852553</v>
      </c>
      <c r="R177" s="25">
        <f>MAX(0,N177-Q177)</f>
        <v>113003.7345069273</v>
      </c>
    </row>
    <row r="178" spans="2:18" ht="18" customHeight="1">
      <c r="B178" s="21">
        <f>ROW()-5</f>
        <v>173</v>
      </c>
      <c r="C178" s="22">
        <f>EDATE(Hipoteca!$C$7,B178-1)</f>
        <v>51561.0</v>
      </c>
      <c r="D178" s="23">
        <f>IFERROR(LOOKUP(2,1/((Hipoteca!$E$4:$E$9&lt;&gt;"")*(Hipoteca!$E$4:$E$9&lt;=C178)),Hipoteca!$F$4:$F$9),Hipoteca!$C$6)</f>
        <v>0.029</v>
      </c>
      <c r="E178" s="24">
        <f>J177</f>
        <v>91759.22522734354</v>
      </c>
      <c r="F178" s="24">
        <f>IF(E178&lt;=0.005,0,MIN(E178*(1+D178/12),IF(OR(Hipoteca!$C$8="Reducir cuota",D178&lt;&gt;D177),PMT(D178/12,K178,-E178),F177)))</f>
        <v>746.6003367545769</v>
      </c>
      <c r="G178" s="24">
        <f>E178*D178/12</f>
        <v>221.75146096608023</v>
      </c>
      <c r="H178" s="24">
        <f>IF(E178&lt;=0.005,0,MIN(E178,F178-G178))</f>
        <v>524.8488757884967</v>
      </c>
      <c r="I178" s="24">
        <f>MIN(E178-H178,SUMPRODUCT((YEAR(Hipoteca!$H$4:$H$15)=YEAR(C178))*(MONTH(Hipoteca!$H$4:$H$15)=MONTH(C178))*(Hipoteca!$H$4:$H$15&lt;&gt;"")*Hipoteca!$I$4:$I$15))</f>
        <v>0</v>
      </c>
      <c r="J178" s="24">
        <f>MAX(0,E178-H178-I178)</f>
        <v>91234.37635155505</v>
      </c>
      <c r="K178" s="21">
        <f>IF(E178&lt;=0.005,0,IF(Hipoteca!$C$8="Reducir cuota",$K$6-(B178-1),IFERROR(MAX(1,ROUNDUP(NPER(D177/12,-F177,E178),0)),$K$6-(B178-1))))</f>
        <v>147</v>
      </c>
      <c r="L178" s="21">
        <f>YEAR(C178)</f>
        <v>2041</v>
      </c>
      <c r="N178" s="25">
        <f>R177</f>
        <v>113003.7345069273</v>
      </c>
      <c r="O178" s="25">
        <f>IF(N178&lt;=0.005,0,IF(D178&lt;&gt;D177,PMT(D178/12,Hipoteca!$C$5*12-(B178-1),-N178),O177))</f>
        <v>748.6477272887904</v>
      </c>
      <c r="P178" s="25">
        <f>N178*D178/12</f>
        <v>273.092358391741</v>
      </c>
      <c r="Q178" s="25">
        <f>IF(N178&lt;=0.005,0,MIN(N178,O178-P178))</f>
        <v>475.5553688970494</v>
      </c>
      <c r="R178" s="25">
        <f>MAX(0,N178-Q178)</f>
        <v>112528.17913803025</v>
      </c>
    </row>
    <row r="179" spans="2:18" ht="18" customHeight="1">
      <c r="B179" s="21">
        <f>ROW()-5</f>
        <v>174</v>
      </c>
      <c r="C179" s="22">
        <f>EDATE(Hipoteca!$C$7,B179-1)</f>
        <v>51592.0</v>
      </c>
      <c r="D179" s="23">
        <f>IFERROR(LOOKUP(2,1/((Hipoteca!$E$4:$E$9&lt;&gt;"")*(Hipoteca!$E$4:$E$9&lt;=C179)),Hipoteca!$F$4:$F$9),Hipoteca!$C$6)</f>
        <v>0.029</v>
      </c>
      <c r="E179" s="24">
        <f>J178</f>
        <v>91234.37635155505</v>
      </c>
      <c r="F179" s="24">
        <f>IF(E179&lt;=0.005,0,MIN(E179*(1+D179/12),IF(OR(Hipoteca!$C$8="Reducir cuota",D179&lt;&gt;D178),PMT(D179/12,K179,-E179),F178)))</f>
        <v>746.6003367545769</v>
      </c>
      <c r="G179" s="24">
        <f>E179*D179/12</f>
        <v>220.48307618292472</v>
      </c>
      <c r="H179" s="24">
        <f>IF(E179&lt;=0.005,0,MIN(E179,F179-G179))</f>
        <v>526.1172605716522</v>
      </c>
      <c r="I179" s="24">
        <f>MIN(E179-H179,SUMPRODUCT((YEAR(Hipoteca!$H$4:$H$15)=YEAR(C179))*(MONTH(Hipoteca!$H$4:$H$15)=MONTH(C179))*(Hipoteca!$H$4:$H$15&lt;&gt;"")*Hipoteca!$I$4:$I$15))</f>
        <v>0</v>
      </c>
      <c r="J179" s="24">
        <f>MAX(0,E179-H179-I179)</f>
        <v>90708.2590909834</v>
      </c>
      <c r="K179" s="21">
        <f>IF(E179&lt;=0.005,0,IF(Hipoteca!$C$8="Reducir cuota",$K$6-(B179-1),IFERROR(MAX(1,ROUNDUP(NPER(D178/12,-F178,E179),0)),$K$6-(B179-1))))</f>
        <v>146</v>
      </c>
      <c r="L179" s="21">
        <f>YEAR(C179)</f>
        <v>2041</v>
      </c>
      <c r="N179" s="25">
        <f>R178</f>
        <v>112528.17913803025</v>
      </c>
      <c r="O179" s="25">
        <f>IF(N179&lt;=0.005,0,IF(D179&lt;&gt;D178,PMT(D179/12,Hipoteca!$C$5*12-(B179-1),-N179),O178))</f>
        <v>748.6477272887904</v>
      </c>
      <c r="P179" s="25">
        <f>N179*D179/12</f>
        <v>271.9430995835731</v>
      </c>
      <c r="Q179" s="25">
        <f>IF(N179&lt;=0.005,0,MIN(N179,O179-P179))</f>
        <v>476.7046277052173</v>
      </c>
      <c r="R179" s="25">
        <f>MAX(0,N179-Q179)</f>
        <v>112051.47451032503</v>
      </c>
    </row>
    <row r="180" spans="2:18" ht="18" customHeight="1">
      <c r="B180" s="21">
        <f>ROW()-5</f>
        <v>175</v>
      </c>
      <c r="C180" s="22">
        <f>EDATE(Hipoteca!$C$7,B180-1)</f>
        <v>51622.0</v>
      </c>
      <c r="D180" s="23">
        <f>IFERROR(LOOKUP(2,1/((Hipoteca!$E$4:$E$9&lt;&gt;"")*(Hipoteca!$E$4:$E$9&lt;=C180)),Hipoteca!$F$4:$F$9),Hipoteca!$C$6)</f>
        <v>0.029</v>
      </c>
      <c r="E180" s="24">
        <f>J179</f>
        <v>90708.2590909834</v>
      </c>
      <c r="F180" s="24">
        <f>IF(E180&lt;=0.005,0,MIN(E180*(1+D180/12),IF(OR(Hipoteca!$C$8="Reducir cuota",D180&lt;&gt;D179),PMT(D180/12,K180,-E180),F179)))</f>
        <v>746.6003367545769</v>
      </c>
      <c r="G180" s="24">
        <f>E180*D180/12</f>
        <v>219.21162613654323</v>
      </c>
      <c r="H180" s="24">
        <f>IF(E180&lt;=0.005,0,MIN(E180,F180-G180))</f>
        <v>527.3887106180337</v>
      </c>
      <c r="I180" s="24">
        <f>MIN(E180-H180,SUMPRODUCT((YEAR(Hipoteca!$H$4:$H$15)=YEAR(C180))*(MONTH(Hipoteca!$H$4:$H$15)=MONTH(C180))*(Hipoteca!$H$4:$H$15&lt;&gt;"")*Hipoteca!$I$4:$I$15))</f>
        <v>0</v>
      </c>
      <c r="J180" s="24">
        <f>MAX(0,E180-H180-I180)</f>
        <v>90180.87038036536</v>
      </c>
      <c r="K180" s="21">
        <f>IF(E180&lt;=0.005,0,IF(Hipoteca!$C$8="Reducir cuota",$K$6-(B180-1),IFERROR(MAX(1,ROUNDUP(NPER(D179/12,-F179,E180),0)),$K$6-(B180-1))))</f>
        <v>145</v>
      </c>
      <c r="L180" s="21">
        <f>YEAR(C180)</f>
        <v>2041</v>
      </c>
      <c r="N180" s="25">
        <f>R179</f>
        <v>112051.47451032503</v>
      </c>
      <c r="O180" s="25">
        <f>IF(N180&lt;=0.005,0,IF(D180&lt;&gt;D179,PMT(D180/12,Hipoteca!$C$5*12-(B180-1),-N180),O179))</f>
        <v>748.6477272887904</v>
      </c>
      <c r="P180" s="25">
        <f>N180*D180/12</f>
        <v>270.7910633999522</v>
      </c>
      <c r="Q180" s="25">
        <f>IF(N180&lt;=0.005,0,MIN(N180,O180-P180))</f>
        <v>477.8566638888382</v>
      </c>
      <c r="R180" s="25">
        <f>MAX(0,N180-Q180)</f>
        <v>111573.61784643619</v>
      </c>
    </row>
    <row r="181" spans="2:18" ht="18" customHeight="1">
      <c r="B181" s="21">
        <f>ROW()-5</f>
        <v>176</v>
      </c>
      <c r="C181" s="22">
        <f>EDATE(Hipoteca!$C$7,B181-1)</f>
        <v>51653.0</v>
      </c>
      <c r="D181" s="23">
        <f>IFERROR(LOOKUP(2,1/((Hipoteca!$E$4:$E$9&lt;&gt;"")*(Hipoteca!$E$4:$E$9&lt;=C181)),Hipoteca!$F$4:$F$9),Hipoteca!$C$6)</f>
        <v>0.029</v>
      </c>
      <c r="E181" s="24">
        <f>J180</f>
        <v>90180.87038036536</v>
      </c>
      <c r="F181" s="24">
        <f>IF(E181&lt;=0.005,0,MIN(E181*(1+D181/12),IF(OR(Hipoteca!$C$8="Reducir cuota",D181&lt;&gt;D180),PMT(D181/12,K181,-E181),F180)))</f>
        <v>746.6003367545769</v>
      </c>
      <c r="G181" s="24">
        <f>E181*D181/12</f>
        <v>217.9371034192163</v>
      </c>
      <c r="H181" s="24">
        <f>IF(E181&lt;=0.005,0,MIN(E181,F181-G181))</f>
        <v>528.6632333353606</v>
      </c>
      <c r="I181" s="24">
        <f>MIN(E181-H181,SUMPRODUCT((YEAR(Hipoteca!$H$4:$H$15)=YEAR(C181))*(MONTH(Hipoteca!$H$4:$H$15)=MONTH(C181))*(Hipoteca!$H$4:$H$15&lt;&gt;"")*Hipoteca!$I$4:$I$15))</f>
        <v>0</v>
      </c>
      <c r="J181" s="24">
        <f>MAX(0,E181-H181-I181)</f>
        <v>89652.20714703</v>
      </c>
      <c r="K181" s="21">
        <f>IF(E181&lt;=0.005,0,IF(Hipoteca!$C$8="Reducir cuota",$K$6-(B181-1),IFERROR(MAX(1,ROUNDUP(NPER(D180/12,-F180,E181),0)),$K$6-(B181-1))))</f>
        <v>144</v>
      </c>
      <c r="L181" s="21">
        <f>YEAR(C181)</f>
        <v>2041</v>
      </c>
      <c r="N181" s="25">
        <f>R180</f>
        <v>111573.61784643619</v>
      </c>
      <c r="O181" s="25">
        <f>IF(N181&lt;=0.005,0,IF(D181&lt;&gt;D180,PMT(D181/12,Hipoteca!$C$5*12-(B181-1),-N181),O180))</f>
        <v>748.6477272887904</v>
      </c>
      <c r="P181" s="25">
        <f>N181*D181/12</f>
        <v>269.63624312888743</v>
      </c>
      <c r="Q181" s="25">
        <f>IF(N181&lt;=0.005,0,MIN(N181,O181-P181))</f>
        <v>479.011484159903</v>
      </c>
      <c r="R181" s="25">
        <f>MAX(0,N181-Q181)</f>
        <v>111094.60636227629</v>
      </c>
    </row>
    <row r="182" spans="2:18" ht="18" customHeight="1">
      <c r="B182" s="21">
        <f>ROW()-5</f>
        <v>177</v>
      </c>
      <c r="C182" s="22">
        <f>EDATE(Hipoteca!$C$7,B182-1)</f>
        <v>51683.0</v>
      </c>
      <c r="D182" s="23">
        <f>IFERROR(LOOKUP(2,1/((Hipoteca!$E$4:$E$9&lt;&gt;"")*(Hipoteca!$E$4:$E$9&lt;=C182)),Hipoteca!$F$4:$F$9),Hipoteca!$C$6)</f>
        <v>0.029</v>
      </c>
      <c r="E182" s="24">
        <f>J181</f>
        <v>89652.20714703</v>
      </c>
      <c r="F182" s="24">
        <f>IF(E182&lt;=0.005,0,MIN(E182*(1+D182/12),IF(OR(Hipoteca!$C$8="Reducir cuota",D182&lt;&gt;D181),PMT(D182/12,K182,-E182),F181)))</f>
        <v>746.6003367545769</v>
      </c>
      <c r="G182" s="24">
        <f>E182*D182/12</f>
        <v>216.6595006053225</v>
      </c>
      <c r="H182" s="24">
        <f>IF(E182&lt;=0.005,0,MIN(E182,F182-G182))</f>
        <v>529.9408361492544</v>
      </c>
      <c r="I182" s="24">
        <f>MIN(E182-H182,SUMPRODUCT((YEAR(Hipoteca!$H$4:$H$15)=YEAR(C182))*(MONTH(Hipoteca!$H$4:$H$15)=MONTH(C182))*(Hipoteca!$H$4:$H$15&lt;&gt;"")*Hipoteca!$I$4:$I$15))</f>
        <v>0</v>
      </c>
      <c r="J182" s="24">
        <f>MAX(0,E182-H182-I182)</f>
        <v>89122.26631088075</v>
      </c>
      <c r="K182" s="21">
        <f>IF(E182&lt;=0.005,0,IF(Hipoteca!$C$8="Reducir cuota",$K$6-(B182-1),IFERROR(MAX(1,ROUNDUP(NPER(D181/12,-F181,E182),0)),$K$6-(B182-1))))</f>
        <v>143</v>
      </c>
      <c r="L182" s="21">
        <f>YEAR(C182)</f>
        <v>2041</v>
      </c>
      <c r="N182" s="25">
        <f>R181</f>
        <v>111094.60636227629</v>
      </c>
      <c r="O182" s="25">
        <f>IF(N182&lt;=0.005,0,IF(D182&lt;&gt;D181,PMT(D182/12,Hipoteca!$C$5*12-(B182-1),-N182),O181))</f>
        <v>748.6477272887904</v>
      </c>
      <c r="P182" s="25">
        <f>N182*D182/12</f>
        <v>268.4786320421677</v>
      </c>
      <c r="Q182" s="25">
        <f>IF(N182&lt;=0.005,0,MIN(N182,O182-P182))</f>
        <v>480.1690952466227</v>
      </c>
      <c r="R182" s="25">
        <f>MAX(0,N182-Q182)</f>
        <v>110614.43726702967</v>
      </c>
    </row>
    <row r="183" spans="2:18" ht="18" customHeight="1">
      <c r="B183" s="21">
        <f>ROW()-5</f>
        <v>178</v>
      </c>
      <c r="C183" s="22">
        <f>EDATE(Hipoteca!$C$7,B183-1)</f>
        <v>51714.0</v>
      </c>
      <c r="D183" s="23">
        <f>IFERROR(LOOKUP(2,1/((Hipoteca!$E$4:$E$9&lt;&gt;"")*(Hipoteca!$E$4:$E$9&lt;=C183)),Hipoteca!$F$4:$F$9),Hipoteca!$C$6)</f>
        <v>0.029</v>
      </c>
      <c r="E183" s="24">
        <f>J182</f>
        <v>89122.26631088075</v>
      </c>
      <c r="F183" s="24">
        <f>IF(E183&lt;=0.005,0,MIN(E183*(1+D183/12),IF(OR(Hipoteca!$C$8="Reducir cuota",D183&lt;&gt;D182),PMT(D183/12,K183,-E183),F182)))</f>
        <v>746.6003367545769</v>
      </c>
      <c r="G183" s="24">
        <f>E183*D183/12</f>
        <v>215.37881025129514</v>
      </c>
      <c r="H183" s="24">
        <f>IF(E183&lt;=0.005,0,MIN(E183,F183-G183))</f>
        <v>531.2215265032818</v>
      </c>
      <c r="I183" s="24">
        <f>MIN(E183-H183,SUMPRODUCT((YEAR(Hipoteca!$H$4:$H$15)=YEAR(C183))*(MONTH(Hipoteca!$H$4:$H$15)=MONTH(C183))*(Hipoteca!$H$4:$H$15&lt;&gt;"")*Hipoteca!$I$4:$I$15))</f>
        <v>0</v>
      </c>
      <c r="J183" s="24">
        <f>MAX(0,E183-H183-I183)</f>
        <v>88591.04478437746</v>
      </c>
      <c r="K183" s="21">
        <f>IF(E183&lt;=0.005,0,IF(Hipoteca!$C$8="Reducir cuota",$K$6-(B183-1),IFERROR(MAX(1,ROUNDUP(NPER(D182/12,-F182,E183),0)),$K$6-(B183-1))))</f>
        <v>142</v>
      </c>
      <c r="L183" s="21">
        <f>YEAR(C183)</f>
        <v>2041</v>
      </c>
      <c r="N183" s="25">
        <f>R182</f>
        <v>110614.43726702967</v>
      </c>
      <c r="O183" s="25">
        <f>IF(N183&lt;=0.005,0,IF(D183&lt;&gt;D182,PMT(D183/12,Hipoteca!$C$5*12-(B183-1),-N183),O182))</f>
        <v>748.6477272887904</v>
      </c>
      <c r="P183" s="25">
        <f>N183*D183/12</f>
        <v>267.3182233953217</v>
      </c>
      <c r="Q183" s="25">
        <f>IF(N183&lt;=0.005,0,MIN(N183,O183-P183))</f>
        <v>481.3295038934687</v>
      </c>
      <c r="R183" s="25">
        <f>MAX(0,N183-Q183)</f>
        <v>110133.1077631362</v>
      </c>
    </row>
    <row r="184" spans="2:18" ht="18" customHeight="1">
      <c r="B184" s="21">
        <f>ROW()-5</f>
        <v>179</v>
      </c>
      <c r="C184" s="22">
        <f>EDATE(Hipoteca!$C$7,B184-1)</f>
        <v>51745.0</v>
      </c>
      <c r="D184" s="23">
        <f>IFERROR(LOOKUP(2,1/((Hipoteca!$E$4:$E$9&lt;&gt;"")*(Hipoteca!$E$4:$E$9&lt;=C184)),Hipoteca!$F$4:$F$9),Hipoteca!$C$6)</f>
        <v>0.029</v>
      </c>
      <c r="E184" s="24">
        <f>J183</f>
        <v>88591.04478437746</v>
      </c>
      <c r="F184" s="24">
        <f>IF(E184&lt;=0.005,0,MIN(E184*(1+D184/12),IF(OR(Hipoteca!$C$8="Reducir cuota",D184&lt;&gt;D183),PMT(D184/12,K184,-E184),F183)))</f>
        <v>746.6003367545769</v>
      </c>
      <c r="G184" s="24">
        <f>E184*D184/12</f>
        <v>214.09502489557886</v>
      </c>
      <c r="H184" s="24">
        <f>IF(E184&lt;=0.005,0,MIN(E184,F184-G184))</f>
        <v>532.5053118589981</v>
      </c>
      <c r="I184" s="24">
        <f>MIN(E184-H184,SUMPRODUCT((YEAR(Hipoteca!$H$4:$H$15)=YEAR(C184))*(MONTH(Hipoteca!$H$4:$H$15)=MONTH(C184))*(Hipoteca!$H$4:$H$15&lt;&gt;"")*Hipoteca!$I$4:$I$15))</f>
        <v>0</v>
      </c>
      <c r="J184" s="24">
        <f>MAX(0,E184-H184-I184)</f>
        <v>88058.53947251846</v>
      </c>
      <c r="K184" s="21">
        <f>IF(E184&lt;=0.005,0,IF(Hipoteca!$C$8="Reducir cuota",$K$6-(B184-1),IFERROR(MAX(1,ROUNDUP(NPER(D183/12,-F183,E184),0)),$K$6-(B184-1))))</f>
        <v>141</v>
      </c>
      <c r="L184" s="21">
        <f>YEAR(C184)</f>
        <v>2041</v>
      </c>
      <c r="N184" s="25">
        <f>R183</f>
        <v>110133.1077631362</v>
      </c>
      <c r="O184" s="25">
        <f>IF(N184&lt;=0.005,0,IF(D184&lt;&gt;D183,PMT(D184/12,Hipoteca!$C$5*12-(B184-1),-N184),O183))</f>
        <v>748.6477272887904</v>
      </c>
      <c r="P184" s="25">
        <f>N184*D184/12</f>
        <v>266.15501042757916</v>
      </c>
      <c r="Q184" s="25">
        <f>IF(N184&lt;=0.005,0,MIN(N184,O184-P184))</f>
        <v>482.49271686121125</v>
      </c>
      <c r="R184" s="25">
        <f>MAX(0,N184-Q184)</f>
        <v>109650.615046275</v>
      </c>
    </row>
    <row r="185" spans="2:18" ht="18" customHeight="1">
      <c r="B185" s="21">
        <f>ROW()-5</f>
        <v>180</v>
      </c>
      <c r="C185" s="22">
        <f>EDATE(Hipoteca!$C$7,B185-1)</f>
        <v>51775.0</v>
      </c>
      <c r="D185" s="23">
        <f>IFERROR(LOOKUP(2,1/((Hipoteca!$E$4:$E$9&lt;&gt;"")*(Hipoteca!$E$4:$E$9&lt;=C185)),Hipoteca!$F$4:$F$9),Hipoteca!$C$6)</f>
        <v>0.029</v>
      </c>
      <c r="E185" s="24">
        <f>J184</f>
        <v>88058.53947251846</v>
      </c>
      <c r="F185" s="24">
        <f>IF(E185&lt;=0.005,0,MIN(E185*(1+D185/12),IF(OR(Hipoteca!$C$8="Reducir cuota",D185&lt;&gt;D184),PMT(D185/12,K185,-E185),F184)))</f>
        <v>746.6003367545769</v>
      </c>
      <c r="G185" s="24">
        <f>E185*D185/12</f>
        <v>212.8081370585863</v>
      </c>
      <c r="H185" s="24">
        <f>IF(E185&lt;=0.005,0,MIN(E185,F185-G185))</f>
        <v>533.7921996959906</v>
      </c>
      <c r="I185" s="24">
        <f>MIN(E185-H185,SUMPRODUCT((YEAR(Hipoteca!$H$4:$H$15)=YEAR(C185))*(MONTH(Hipoteca!$H$4:$H$15)=MONTH(C185))*(Hipoteca!$H$4:$H$15&lt;&gt;"")*Hipoteca!$I$4:$I$15))</f>
        <v>0</v>
      </c>
      <c r="J185" s="24">
        <f>MAX(0,E185-H185-I185)</f>
        <v>87524.74727282247</v>
      </c>
      <c r="K185" s="21">
        <f>IF(E185&lt;=0.005,0,IF(Hipoteca!$C$8="Reducir cuota",$K$6-(B185-1),IFERROR(MAX(1,ROUNDUP(NPER(D184/12,-F184,E185),0)),$K$6-(B185-1))))</f>
        <v>140</v>
      </c>
      <c r="L185" s="21">
        <f>YEAR(C185)</f>
        <v>2041</v>
      </c>
      <c r="N185" s="25">
        <f>R184</f>
        <v>109650.615046275</v>
      </c>
      <c r="O185" s="25">
        <f>IF(N185&lt;=0.005,0,IF(D185&lt;&gt;D184,PMT(D185/12,Hipoteca!$C$5*12-(B185-1),-N185),O184))</f>
        <v>748.6477272887904</v>
      </c>
      <c r="P185" s="25">
        <f>N185*D185/12</f>
        <v>264.9889863618312</v>
      </c>
      <c r="Q185" s="25">
        <f>IF(N185&lt;=0.005,0,MIN(N185,O185-P185))</f>
        <v>483.6587409269592</v>
      </c>
      <c r="R185" s="25">
        <f>MAX(0,N185-Q185)</f>
        <v>109166.95630534804</v>
      </c>
    </row>
    <row r="186" spans="2:18" ht="18" customHeight="1">
      <c r="B186" s="21">
        <f>ROW()-5</f>
        <v>181</v>
      </c>
      <c r="C186" s="22">
        <f>EDATE(Hipoteca!$C$7,B186-1)</f>
        <v>51806.0</v>
      </c>
      <c r="D186" s="23">
        <f>IFERROR(LOOKUP(2,1/((Hipoteca!$E$4:$E$9&lt;&gt;"")*(Hipoteca!$E$4:$E$9&lt;=C186)),Hipoteca!$F$4:$F$9),Hipoteca!$C$6)</f>
        <v>0.029</v>
      </c>
      <c r="E186" s="24">
        <f>J185</f>
        <v>87524.74727282247</v>
      </c>
      <c r="F186" s="24">
        <f>IF(E186&lt;=0.005,0,MIN(E186*(1+D186/12),IF(OR(Hipoteca!$C$8="Reducir cuota",D186&lt;&gt;D185),PMT(D186/12,K186,-E186),F185)))</f>
        <v>746.6003367545769</v>
      </c>
      <c r="G186" s="24">
        <f>E186*D186/12</f>
        <v>211.5181392426543</v>
      </c>
      <c r="H186" s="24">
        <f>IF(E186&lt;=0.005,0,MIN(E186,F186-G186))</f>
        <v>535.0821975119226</v>
      </c>
      <c r="I186" s="24">
        <f>MIN(E186-H186,SUMPRODUCT((YEAR(Hipoteca!$H$4:$H$15)=YEAR(C186))*(MONTH(Hipoteca!$H$4:$H$15)=MONTH(C186))*(Hipoteca!$H$4:$H$15&lt;&gt;"")*Hipoteca!$I$4:$I$15))</f>
        <v>0</v>
      </c>
      <c r="J186" s="24">
        <f>MAX(0,E186-H186-I186)</f>
        <v>86989.66507531055</v>
      </c>
      <c r="K186" s="21">
        <f>IF(E186&lt;=0.005,0,IF(Hipoteca!$C$8="Reducir cuota",$K$6-(B186-1),IFERROR(MAX(1,ROUNDUP(NPER(D185/12,-F185,E186),0)),$K$6-(B186-1))))</f>
        <v>139</v>
      </c>
      <c r="L186" s="21">
        <f>YEAR(C186)</f>
        <v>2041</v>
      </c>
      <c r="N186" s="25">
        <f>R185</f>
        <v>109166.95630534804</v>
      </c>
      <c r="O186" s="25">
        <f>IF(N186&lt;=0.005,0,IF(D186&lt;&gt;D185,PMT(D186/12,Hipoteca!$C$5*12-(B186-1),-N186),O185))</f>
        <v>748.6477272887904</v>
      </c>
      <c r="P186" s="25">
        <f>N186*D186/12</f>
        <v>263.8201444045911</v>
      </c>
      <c r="Q186" s="25">
        <f>IF(N186&lt;=0.005,0,MIN(N186,O186-P186))</f>
        <v>484.82758288419933</v>
      </c>
      <c r="R186" s="25">
        <f>MAX(0,N186-Q186)</f>
        <v>108682.12872246384</v>
      </c>
    </row>
    <row r="187" spans="2:18" ht="18" customHeight="1">
      <c r="B187" s="21">
        <f>ROW()-5</f>
        <v>182</v>
      </c>
      <c r="C187" s="22">
        <f>EDATE(Hipoteca!$C$7,B187-1)</f>
        <v>51836.0</v>
      </c>
      <c r="D187" s="23">
        <f>IFERROR(LOOKUP(2,1/((Hipoteca!$E$4:$E$9&lt;&gt;"")*(Hipoteca!$E$4:$E$9&lt;=C187)),Hipoteca!$F$4:$F$9),Hipoteca!$C$6)</f>
        <v>0.029</v>
      </c>
      <c r="E187" s="24">
        <f>J186</f>
        <v>86989.66507531055</v>
      </c>
      <c r="F187" s="24">
        <f>IF(E187&lt;=0.005,0,MIN(E187*(1+D187/12),IF(OR(Hipoteca!$C$8="Reducir cuota",D187&lt;&gt;D186),PMT(D187/12,K187,-E187),F186)))</f>
        <v>746.6003367545769</v>
      </c>
      <c r="G187" s="24">
        <f>E187*D187/12</f>
        <v>210.22502393200048</v>
      </c>
      <c r="H187" s="24">
        <f>IF(E187&lt;=0.005,0,MIN(E187,F187-G187))</f>
        <v>536.3753128225765</v>
      </c>
      <c r="I187" s="24">
        <f>MIN(E187-H187,SUMPRODUCT((YEAR(Hipoteca!$H$4:$H$15)=YEAR(C187))*(MONTH(Hipoteca!$H$4:$H$15)=MONTH(C187))*(Hipoteca!$H$4:$H$15&lt;&gt;"")*Hipoteca!$I$4:$I$15))</f>
        <v>0</v>
      </c>
      <c r="J187" s="24">
        <f>MAX(0,E187-H187-I187)</f>
        <v>86453.28976248797</v>
      </c>
      <c r="K187" s="21">
        <f>IF(E187&lt;=0.005,0,IF(Hipoteca!$C$8="Reducir cuota",$K$6-(B187-1),IFERROR(MAX(1,ROUNDUP(NPER(D186/12,-F186,E187),0)),$K$6-(B187-1))))</f>
        <v>138</v>
      </c>
      <c r="L187" s="21">
        <f>YEAR(C187)</f>
        <v>2041</v>
      </c>
      <c r="N187" s="25">
        <f>R186</f>
        <v>108682.12872246384</v>
      </c>
      <c r="O187" s="25">
        <f>IF(N187&lt;=0.005,0,IF(D187&lt;&gt;D186,PMT(D187/12,Hipoteca!$C$5*12-(B187-1),-N187),O186))</f>
        <v>748.6477272887904</v>
      </c>
      <c r="P187" s="25">
        <f>N187*D187/12</f>
        <v>262.64847774595427</v>
      </c>
      <c r="Q187" s="25">
        <f>IF(N187&lt;=0.005,0,MIN(N187,O187-P187))</f>
        <v>485.99924954283614</v>
      </c>
      <c r="R187" s="25">
        <f>MAX(0,N187-Q187)</f>
        <v>108196.129472921</v>
      </c>
    </row>
    <row r="188" spans="2:18" ht="18" customHeight="1">
      <c r="B188" s="21">
        <f>ROW()-5</f>
        <v>183</v>
      </c>
      <c r="C188" s="22">
        <f>EDATE(Hipoteca!$C$7,B188-1)</f>
        <v>51867.0</v>
      </c>
      <c r="D188" s="23">
        <f>IFERROR(LOOKUP(2,1/((Hipoteca!$E$4:$E$9&lt;&gt;"")*(Hipoteca!$E$4:$E$9&lt;=C188)),Hipoteca!$F$4:$F$9),Hipoteca!$C$6)</f>
        <v>0.029</v>
      </c>
      <c r="E188" s="24">
        <f>J187</f>
        <v>86453.28976248797</v>
      </c>
      <c r="F188" s="24">
        <f>IF(E188&lt;=0.005,0,MIN(E188*(1+D188/12),IF(OR(Hipoteca!$C$8="Reducir cuota",D188&lt;&gt;D187),PMT(D188/12,K188,-E188),F187)))</f>
        <v>746.6003367545769</v>
      </c>
      <c r="G188" s="24">
        <f>E188*D188/12</f>
        <v>208.92878359267925</v>
      </c>
      <c r="H188" s="24">
        <f>IF(E188&lt;=0.005,0,MIN(E188,F188-G188))</f>
        <v>537.6715531618977</v>
      </c>
      <c r="I188" s="24">
        <f>MIN(E188-H188,SUMPRODUCT((YEAR(Hipoteca!$H$4:$H$15)=YEAR(C188))*(MONTH(Hipoteca!$H$4:$H$15)=MONTH(C188))*(Hipoteca!$H$4:$H$15&lt;&gt;"")*Hipoteca!$I$4:$I$15))</f>
        <v>0</v>
      </c>
      <c r="J188" s="24">
        <f>MAX(0,E188-H188-I188)</f>
        <v>85915.61820932607</v>
      </c>
      <c r="K188" s="21">
        <f>IF(E188&lt;=0.005,0,IF(Hipoteca!$C$8="Reducir cuota",$K$6-(B188-1),IFERROR(MAX(1,ROUNDUP(NPER(D187/12,-F187,E188),0)),$K$6-(B188-1))))</f>
        <v>137</v>
      </c>
      <c r="L188" s="21">
        <f>YEAR(C188)</f>
        <v>2042</v>
      </c>
      <c r="N188" s="25">
        <f>R187</f>
        <v>108196.129472921</v>
      </c>
      <c r="O188" s="25">
        <f>IF(N188&lt;=0.005,0,IF(D188&lt;&gt;D187,PMT(D188/12,Hipoteca!$C$5*12-(B188-1),-N188),O187))</f>
        <v>748.6477272887904</v>
      </c>
      <c r="P188" s="25">
        <f>N188*D188/12</f>
        <v>261.4739795595591</v>
      </c>
      <c r="Q188" s="25">
        <f>IF(N188&lt;=0.005,0,MIN(N188,O188-P188))</f>
        <v>487.1737477292313</v>
      </c>
      <c r="R188" s="25">
        <f>MAX(0,N188-Q188)</f>
        <v>107708.95572519177</v>
      </c>
    </row>
    <row r="189" spans="2:18" ht="18" customHeight="1">
      <c r="B189" s="21">
        <f>ROW()-5</f>
        <v>184</v>
      </c>
      <c r="C189" s="22">
        <f>EDATE(Hipoteca!$C$7,B189-1)</f>
        <v>51898.0</v>
      </c>
      <c r="D189" s="23">
        <f>IFERROR(LOOKUP(2,1/((Hipoteca!$E$4:$E$9&lt;&gt;"")*(Hipoteca!$E$4:$E$9&lt;=C189)),Hipoteca!$F$4:$F$9),Hipoteca!$C$6)</f>
        <v>0.029</v>
      </c>
      <c r="E189" s="24">
        <f>J188</f>
        <v>85915.61820932607</v>
      </c>
      <c r="F189" s="24">
        <f>IF(E189&lt;=0.005,0,MIN(E189*(1+D189/12),IF(OR(Hipoteca!$C$8="Reducir cuota",D189&lt;&gt;D188),PMT(D189/12,K189,-E189),F188)))</f>
        <v>746.6003367545769</v>
      </c>
      <c r="G189" s="24">
        <f>E189*D189/12</f>
        <v>207.62941067253803</v>
      </c>
      <c r="H189" s="24">
        <f>IF(E189&lt;=0.005,0,MIN(E189,F189-G189))</f>
        <v>538.9709260820389</v>
      </c>
      <c r="I189" s="24">
        <f>MIN(E189-H189,SUMPRODUCT((YEAR(Hipoteca!$H$4:$H$15)=YEAR(C189))*(MONTH(Hipoteca!$H$4:$H$15)=MONTH(C189))*(Hipoteca!$H$4:$H$15&lt;&gt;"")*Hipoteca!$I$4:$I$15))</f>
        <v>0</v>
      </c>
      <c r="J189" s="24">
        <f>MAX(0,E189-H189-I189)</f>
        <v>85376.64728324403</v>
      </c>
      <c r="K189" s="21">
        <f>IF(E189&lt;=0.005,0,IF(Hipoteca!$C$8="Reducir cuota",$K$6-(B189-1),IFERROR(MAX(1,ROUNDUP(NPER(D188/12,-F188,E189),0)),$K$6-(B189-1))))</f>
        <v>136</v>
      </c>
      <c r="L189" s="21">
        <f>YEAR(C189)</f>
        <v>2042</v>
      </c>
      <c r="N189" s="25">
        <f>R188</f>
        <v>107708.95572519177</v>
      </c>
      <c r="O189" s="25">
        <f>IF(N189&lt;=0.005,0,IF(D189&lt;&gt;D188,PMT(D189/12,Hipoteca!$C$5*12-(B189-1),-N189),O188))</f>
        <v>748.6477272887904</v>
      </c>
      <c r="P189" s="25">
        <f>N189*D189/12</f>
        <v>260.2966430025468</v>
      </c>
      <c r="Q189" s="25">
        <f>IF(N189&lt;=0.005,0,MIN(N189,O189-P189))</f>
        <v>488.35108428624363</v>
      </c>
      <c r="R189" s="25">
        <f>MAX(0,N189-Q189)</f>
        <v>107220.60464090553</v>
      </c>
    </row>
    <row r="190" spans="2:18" ht="18" customHeight="1">
      <c r="B190" s="21">
        <f>ROW()-5</f>
        <v>185</v>
      </c>
      <c r="C190" s="22">
        <f>EDATE(Hipoteca!$C$7,B190-1)</f>
        <v>51926.0</v>
      </c>
      <c r="D190" s="23">
        <f>IFERROR(LOOKUP(2,1/((Hipoteca!$E$4:$E$9&lt;&gt;"")*(Hipoteca!$E$4:$E$9&lt;=C190)),Hipoteca!$F$4:$F$9),Hipoteca!$C$6)</f>
        <v>0.029</v>
      </c>
      <c r="E190" s="24">
        <f>J189</f>
        <v>85376.64728324403</v>
      </c>
      <c r="F190" s="24">
        <f>IF(E190&lt;=0.005,0,MIN(E190*(1+D190/12),IF(OR(Hipoteca!$C$8="Reducir cuota",D190&lt;&gt;D189),PMT(D190/12,K190,-E190),F189)))</f>
        <v>746.6003367545769</v>
      </c>
      <c r="G190" s="24">
        <f>E190*D190/12</f>
        <v>206.3268976011731</v>
      </c>
      <c r="H190" s="24">
        <f>IF(E190&lt;=0.005,0,MIN(E190,F190-G190))</f>
        <v>540.2734391534038</v>
      </c>
      <c r="I190" s="24">
        <f>MIN(E190-H190,SUMPRODUCT((YEAR(Hipoteca!$H$4:$H$15)=YEAR(C190))*(MONTH(Hipoteca!$H$4:$H$15)=MONTH(C190))*(Hipoteca!$H$4:$H$15&lt;&gt;"")*Hipoteca!$I$4:$I$15))</f>
        <v>0</v>
      </c>
      <c r="J190" s="24">
        <f>MAX(0,E190-H190-I190)</f>
        <v>84836.37384409063</v>
      </c>
      <c r="K190" s="21">
        <f>IF(E190&lt;=0.005,0,IF(Hipoteca!$C$8="Reducir cuota",$K$6-(B190-1),IFERROR(MAX(1,ROUNDUP(NPER(D189/12,-F189,E190),0)),$K$6-(B190-1))))</f>
        <v>135</v>
      </c>
      <c r="L190" s="21">
        <f>YEAR(C190)</f>
        <v>2042</v>
      </c>
      <c r="N190" s="25">
        <f>R189</f>
        <v>107220.60464090553</v>
      </c>
      <c r="O190" s="25">
        <f>IF(N190&lt;=0.005,0,IF(D190&lt;&gt;D189,PMT(D190/12,Hipoteca!$C$5*12-(B190-1),-N190),O189))</f>
        <v>748.6477272887904</v>
      </c>
      <c r="P190" s="25">
        <f>N190*D190/12</f>
        <v>259.1164612155217</v>
      </c>
      <c r="Q190" s="25">
        <f>IF(N190&lt;=0.005,0,MIN(N190,O190-P190))</f>
        <v>489.5312660732687</v>
      </c>
      <c r="R190" s="25">
        <f>MAX(0,N190-Q190)</f>
        <v>106731.07337483225</v>
      </c>
    </row>
    <row r="191" spans="2:18" ht="18" customHeight="1">
      <c r="B191" s="21">
        <f>ROW()-5</f>
        <v>186</v>
      </c>
      <c r="C191" s="22">
        <f>EDATE(Hipoteca!$C$7,B191-1)</f>
        <v>51957.0</v>
      </c>
      <c r="D191" s="23">
        <f>IFERROR(LOOKUP(2,1/((Hipoteca!$E$4:$E$9&lt;&gt;"")*(Hipoteca!$E$4:$E$9&lt;=C191)),Hipoteca!$F$4:$F$9),Hipoteca!$C$6)</f>
        <v>0.029</v>
      </c>
      <c r="E191" s="24">
        <f>J190</f>
        <v>84836.37384409063</v>
      </c>
      <c r="F191" s="24">
        <f>IF(E191&lt;=0.005,0,MIN(E191*(1+D191/12),IF(OR(Hipoteca!$C$8="Reducir cuota",D191&lt;&gt;D190),PMT(D191/12,K191,-E191),F190)))</f>
        <v>746.6003367545769</v>
      </c>
      <c r="G191" s="24">
        <f>E191*D191/12</f>
        <v>205.0212367898857</v>
      </c>
      <c r="H191" s="24">
        <f>IF(E191&lt;=0.005,0,MIN(E191,F191-G191))</f>
        <v>541.5790999646912</v>
      </c>
      <c r="I191" s="24">
        <f>MIN(E191-H191,SUMPRODUCT((YEAR(Hipoteca!$H$4:$H$15)=YEAR(C191))*(MONTH(Hipoteca!$H$4:$H$15)=MONTH(C191))*(Hipoteca!$H$4:$H$15&lt;&gt;"")*Hipoteca!$I$4:$I$15))</f>
        <v>0</v>
      </c>
      <c r="J191" s="24">
        <f>MAX(0,E191-H191-I191)</f>
        <v>84294.79474412595</v>
      </c>
      <c r="K191" s="21">
        <f>IF(E191&lt;=0.005,0,IF(Hipoteca!$C$8="Reducir cuota",$K$6-(B191-1),IFERROR(MAX(1,ROUNDUP(NPER(D190/12,-F190,E191),0)),$K$6-(B191-1))))</f>
        <v>134</v>
      </c>
      <c r="L191" s="21">
        <f>YEAR(C191)</f>
        <v>2042</v>
      </c>
      <c r="N191" s="25">
        <f>R190</f>
        <v>106731.07337483225</v>
      </c>
      <c r="O191" s="25">
        <f>IF(N191&lt;=0.005,0,IF(D191&lt;&gt;D190,PMT(D191/12,Hipoteca!$C$5*12-(B191-1),-N191),O190))</f>
        <v>748.6477272887904</v>
      </c>
      <c r="P191" s="25">
        <f>N191*D191/12</f>
        <v>257.9334273225113</v>
      </c>
      <c r="Q191" s="25">
        <f>IF(N191&lt;=0.005,0,MIN(N191,O191-P191))</f>
        <v>490.7142999662791</v>
      </c>
      <c r="R191" s="25">
        <f>MAX(0,N191-Q191)</f>
        <v>106240.35907486598</v>
      </c>
    </row>
    <row r="192" spans="2:18" ht="18" customHeight="1">
      <c r="B192" s="21">
        <f>ROW()-5</f>
        <v>187</v>
      </c>
      <c r="C192" s="22">
        <f>EDATE(Hipoteca!$C$7,B192-1)</f>
        <v>51987.0</v>
      </c>
      <c r="D192" s="23">
        <f>IFERROR(LOOKUP(2,1/((Hipoteca!$E$4:$E$9&lt;&gt;"")*(Hipoteca!$E$4:$E$9&lt;=C192)),Hipoteca!$F$4:$F$9),Hipoteca!$C$6)</f>
        <v>0.029</v>
      </c>
      <c r="E192" s="24">
        <f>J191</f>
        <v>84294.79474412595</v>
      </c>
      <c r="F192" s="24">
        <f>IF(E192&lt;=0.005,0,MIN(E192*(1+D192/12),IF(OR(Hipoteca!$C$8="Reducir cuota",D192&lt;&gt;D191),PMT(D192/12,K192,-E192),F191)))</f>
        <v>746.6003367545769</v>
      </c>
      <c r="G192" s="24">
        <f>E192*D192/12</f>
        <v>203.71242063163768</v>
      </c>
      <c r="H192" s="24">
        <f>IF(E192&lt;=0.005,0,MIN(E192,F192-G192))</f>
        <v>542.8879161229393</v>
      </c>
      <c r="I192" s="24">
        <f>MIN(E192-H192,SUMPRODUCT((YEAR(Hipoteca!$H$4:$H$15)=YEAR(C192))*(MONTH(Hipoteca!$H$4:$H$15)=MONTH(C192))*(Hipoteca!$H$4:$H$15&lt;&gt;"")*Hipoteca!$I$4:$I$15))</f>
        <v>0</v>
      </c>
      <c r="J192" s="24">
        <f>MAX(0,E192-H192-I192)</f>
        <v>83751.906828003</v>
      </c>
      <c r="K192" s="21">
        <f>IF(E192&lt;=0.005,0,IF(Hipoteca!$C$8="Reducir cuota",$K$6-(B192-1),IFERROR(MAX(1,ROUNDUP(NPER(D191/12,-F191,E192),0)),$K$6-(B192-1))))</f>
        <v>133</v>
      </c>
      <c r="L192" s="21">
        <f>YEAR(C192)</f>
        <v>2042</v>
      </c>
      <c r="N192" s="25">
        <f>R191</f>
        <v>106240.35907486598</v>
      </c>
      <c r="O192" s="25">
        <f>IF(N192&lt;=0.005,0,IF(D192&lt;&gt;D191,PMT(D192/12,Hipoteca!$C$5*12-(B192-1),-N192),O191))</f>
        <v>748.6477272887904</v>
      </c>
      <c r="P192" s="25">
        <f>N192*D192/12</f>
        <v>256.7475344309261</v>
      </c>
      <c r="Q192" s="25">
        <f>IF(N192&lt;=0.005,0,MIN(N192,O192-P192))</f>
        <v>491.9001928578643</v>
      </c>
      <c r="R192" s="25">
        <f>MAX(0,N192-Q192)</f>
        <v>105748.45888200811</v>
      </c>
    </row>
    <row r="193" spans="2:18" ht="18" customHeight="1">
      <c r="B193" s="21">
        <f>ROW()-5</f>
        <v>188</v>
      </c>
      <c r="C193" s="22">
        <f>EDATE(Hipoteca!$C$7,B193-1)</f>
        <v>52018.0</v>
      </c>
      <c r="D193" s="23">
        <f>IFERROR(LOOKUP(2,1/((Hipoteca!$E$4:$E$9&lt;&gt;"")*(Hipoteca!$E$4:$E$9&lt;=C193)),Hipoteca!$F$4:$F$9),Hipoteca!$C$6)</f>
        <v>0.029</v>
      </c>
      <c r="E193" s="24">
        <f>J192</f>
        <v>83751.906828003</v>
      </c>
      <c r="F193" s="24">
        <f>IF(E193&lt;=0.005,0,MIN(E193*(1+D193/12),IF(OR(Hipoteca!$C$8="Reducir cuota",D193&lt;&gt;D192),PMT(D193/12,K193,-E193),F192)))</f>
        <v>746.6003367545769</v>
      </c>
      <c r="G193" s="24">
        <f>E193*D193/12</f>
        <v>202.4004415010073</v>
      </c>
      <c r="H193" s="24">
        <f>IF(E193&lt;=0.005,0,MIN(E193,F193-G193))</f>
        <v>544.1998952535696</v>
      </c>
      <c r="I193" s="24">
        <f>MIN(E193-H193,SUMPRODUCT((YEAR(Hipoteca!$H$4:$H$15)=YEAR(C193))*(MONTH(Hipoteca!$H$4:$H$15)=MONTH(C193))*(Hipoteca!$H$4:$H$15&lt;&gt;"")*Hipoteca!$I$4:$I$15))</f>
        <v>0</v>
      </c>
      <c r="J193" s="24">
        <f>MAX(0,E193-H193-I193)</f>
        <v>83207.70693274944</v>
      </c>
      <c r="K193" s="21">
        <f>IF(E193&lt;=0.005,0,IF(Hipoteca!$C$8="Reducir cuota",$K$6-(B193-1),IFERROR(MAX(1,ROUNDUP(NPER(D192/12,-F192,E193),0)),$K$6-(B193-1))))</f>
        <v>132</v>
      </c>
      <c r="L193" s="21">
        <f>YEAR(C193)</f>
        <v>2042</v>
      </c>
      <c r="N193" s="25">
        <f>R192</f>
        <v>105748.45888200811</v>
      </c>
      <c r="O193" s="25">
        <f>IF(N193&lt;=0.005,0,IF(D193&lt;&gt;D192,PMT(D193/12,Hipoteca!$C$5*12-(B193-1),-N193),O192))</f>
        <v>748.6477272887904</v>
      </c>
      <c r="P193" s="25">
        <f>N193*D193/12</f>
        <v>255.55877563151964</v>
      </c>
      <c r="Q193" s="25">
        <f>IF(N193&lt;=0.005,0,MIN(N193,O193-P193))</f>
        <v>493.08895165727074</v>
      </c>
      <c r="R193" s="25">
        <f>MAX(0,N193-Q193)</f>
        <v>105255.36993035085</v>
      </c>
    </row>
    <row r="194" spans="2:18" ht="18" customHeight="1">
      <c r="B194" s="21">
        <f>ROW()-5</f>
        <v>189</v>
      </c>
      <c r="C194" s="22">
        <f>EDATE(Hipoteca!$C$7,B194-1)</f>
        <v>52048.0</v>
      </c>
      <c r="D194" s="23">
        <f>IFERROR(LOOKUP(2,1/((Hipoteca!$E$4:$E$9&lt;&gt;"")*(Hipoteca!$E$4:$E$9&lt;=C194)),Hipoteca!$F$4:$F$9),Hipoteca!$C$6)</f>
        <v>0.029</v>
      </c>
      <c r="E194" s="24">
        <f>J193</f>
        <v>83207.70693274944</v>
      </c>
      <c r="F194" s="24">
        <f>IF(E194&lt;=0.005,0,MIN(E194*(1+D194/12),IF(OR(Hipoteca!$C$8="Reducir cuota",D194&lt;&gt;D193),PMT(D194/12,K194,-E194),F193)))</f>
        <v>746.6003367545769</v>
      </c>
      <c r="G194" s="24">
        <f>E194*D194/12</f>
        <v>201.0852917541445</v>
      </c>
      <c r="H194" s="24">
        <f>IF(E194&lt;=0.005,0,MIN(E194,F194-G194))</f>
        <v>545.5150450004325</v>
      </c>
      <c r="I194" s="24">
        <f>MIN(E194-H194,SUMPRODUCT((YEAR(Hipoteca!$H$4:$H$15)=YEAR(C194))*(MONTH(Hipoteca!$H$4:$H$15)=MONTH(C194))*(Hipoteca!$H$4:$H$15&lt;&gt;"")*Hipoteca!$I$4:$I$15))</f>
        <v>0</v>
      </c>
      <c r="J194" s="24">
        <f>MAX(0,E194-H194-I194)</f>
        <v>82662.19188774901</v>
      </c>
      <c r="K194" s="21">
        <f>IF(E194&lt;=0.005,0,IF(Hipoteca!$C$8="Reducir cuota",$K$6-(B194-1),IFERROR(MAX(1,ROUNDUP(NPER(D193/12,-F193,E194),0)),$K$6-(B194-1))))</f>
        <v>131</v>
      </c>
      <c r="L194" s="21">
        <f>YEAR(C194)</f>
        <v>2042</v>
      </c>
      <c r="N194" s="25">
        <f>R193</f>
        <v>105255.36993035085</v>
      </c>
      <c r="O194" s="25">
        <f>IF(N194&lt;=0.005,0,IF(D194&lt;&gt;D193,PMT(D194/12,Hipoteca!$C$5*12-(B194-1),-N194),O193))</f>
        <v>748.6477272887904</v>
      </c>
      <c r="P194" s="25">
        <f>N194*D194/12</f>
        <v>254.36714399834787</v>
      </c>
      <c r="Q194" s="25">
        <f>IF(N194&lt;=0.005,0,MIN(N194,O194-P194))</f>
        <v>494.28058329044256</v>
      </c>
      <c r="R194" s="25">
        <f>MAX(0,N194-Q194)</f>
        <v>104761.0893470604</v>
      </c>
    </row>
    <row r="195" spans="2:18" ht="18" customHeight="1">
      <c r="B195" s="21">
        <f>ROW()-5</f>
        <v>190</v>
      </c>
      <c r="C195" s="22">
        <f>EDATE(Hipoteca!$C$7,B195-1)</f>
        <v>52079.0</v>
      </c>
      <c r="D195" s="23">
        <f>IFERROR(LOOKUP(2,1/((Hipoteca!$E$4:$E$9&lt;&gt;"")*(Hipoteca!$E$4:$E$9&lt;=C195)),Hipoteca!$F$4:$F$9),Hipoteca!$C$6)</f>
        <v>0.029</v>
      </c>
      <c r="E195" s="24">
        <f>J194</f>
        <v>82662.19188774901</v>
      </c>
      <c r="F195" s="24">
        <f>IF(E195&lt;=0.005,0,MIN(E195*(1+D195/12),IF(OR(Hipoteca!$C$8="Reducir cuota",D195&lt;&gt;D194),PMT(D195/12,K195,-E195),F194)))</f>
        <v>746.6003367545769</v>
      </c>
      <c r="G195" s="24">
        <f>E195*D195/12</f>
        <v>199.76696372872678</v>
      </c>
      <c r="H195" s="24">
        <f>IF(E195&lt;=0.005,0,MIN(E195,F195-G195))</f>
        <v>546.8333730258502</v>
      </c>
      <c r="I195" s="24">
        <f>MIN(E195-H195,SUMPRODUCT((YEAR(Hipoteca!$H$4:$H$15)=YEAR(C195))*(MONTH(Hipoteca!$H$4:$H$15)=MONTH(C195))*(Hipoteca!$H$4:$H$15&lt;&gt;"")*Hipoteca!$I$4:$I$15))</f>
        <v>0</v>
      </c>
      <c r="J195" s="24">
        <f>MAX(0,E195-H195-I195)</f>
        <v>82115.35851472316</v>
      </c>
      <c r="K195" s="21">
        <f>IF(E195&lt;=0.005,0,IF(Hipoteca!$C$8="Reducir cuota",$K$6-(B195-1),IFERROR(MAX(1,ROUNDUP(NPER(D194/12,-F194,E195),0)),$K$6-(B195-1))))</f>
        <v>130</v>
      </c>
      <c r="L195" s="21">
        <f>YEAR(C195)</f>
        <v>2042</v>
      </c>
      <c r="N195" s="25">
        <f>R194</f>
        <v>104761.0893470604</v>
      </c>
      <c r="O195" s="25">
        <f>IF(N195&lt;=0.005,0,IF(D195&lt;&gt;D194,PMT(D195/12,Hipoteca!$C$5*12-(B195-1),-N195),O194))</f>
        <v>748.6477272887904</v>
      </c>
      <c r="P195" s="25">
        <f>N195*D195/12</f>
        <v>253.17263258872933</v>
      </c>
      <c r="Q195" s="25">
        <f>IF(N195&lt;=0.005,0,MIN(N195,O195-P195))</f>
        <v>495.47509470006105</v>
      </c>
      <c r="R195" s="25">
        <f>MAX(0,N195-Q195)</f>
        <v>104265.61425236035</v>
      </c>
    </row>
    <row r="196" spans="2:18" ht="18" customHeight="1">
      <c r="B196" s="21">
        <f>ROW()-5</f>
        <v>191</v>
      </c>
      <c r="C196" s="22">
        <f>EDATE(Hipoteca!$C$7,B196-1)</f>
        <v>52110.0</v>
      </c>
      <c r="D196" s="23">
        <f>IFERROR(LOOKUP(2,1/((Hipoteca!$E$4:$E$9&lt;&gt;"")*(Hipoteca!$E$4:$E$9&lt;=C196)),Hipoteca!$F$4:$F$9),Hipoteca!$C$6)</f>
        <v>0.029</v>
      </c>
      <c r="E196" s="24">
        <f>J195</f>
        <v>82115.35851472316</v>
      </c>
      <c r="F196" s="24">
        <f>IF(E196&lt;=0.005,0,MIN(E196*(1+D196/12),IF(OR(Hipoteca!$C$8="Reducir cuota",D196&lt;&gt;D195),PMT(D196/12,K196,-E196),F195)))</f>
        <v>746.6003367545769</v>
      </c>
      <c r="G196" s="24">
        <f>E196*D196/12</f>
        <v>198.4454497439143</v>
      </c>
      <c r="H196" s="24">
        <f>IF(E196&lt;=0.005,0,MIN(E196,F196-G196))</f>
        <v>548.1548870106626</v>
      </c>
      <c r="I196" s="24">
        <f>MIN(E196-H196,SUMPRODUCT((YEAR(Hipoteca!$H$4:$H$15)=YEAR(C196))*(MONTH(Hipoteca!$H$4:$H$15)=MONTH(C196))*(Hipoteca!$H$4:$H$15&lt;&gt;"")*Hipoteca!$I$4:$I$15))</f>
        <v>0</v>
      </c>
      <c r="J196" s="24">
        <f>MAX(0,E196-H196-I196)</f>
        <v>81567.2036277125</v>
      </c>
      <c r="K196" s="21">
        <f>IF(E196&lt;=0.005,0,IF(Hipoteca!$C$8="Reducir cuota",$K$6-(B196-1),IFERROR(MAX(1,ROUNDUP(NPER(D195/12,-F195,E196),0)),$K$6-(B196-1))))</f>
        <v>129</v>
      </c>
      <c r="L196" s="21">
        <f>YEAR(C196)</f>
        <v>2042</v>
      </c>
      <c r="N196" s="25">
        <f>R195</f>
        <v>104265.61425236035</v>
      </c>
      <c r="O196" s="25">
        <f>IF(N196&lt;=0.005,0,IF(D196&lt;&gt;D195,PMT(D196/12,Hipoteca!$C$5*12-(B196-1),-N196),O195))</f>
        <v>748.6477272887904</v>
      </c>
      <c r="P196" s="25">
        <f>N196*D196/12</f>
        <v>251.9752344432042</v>
      </c>
      <c r="Q196" s="25">
        <f>IF(N196&lt;=0.005,0,MIN(N196,O196-P196))</f>
        <v>496.67249284558625</v>
      </c>
      <c r="R196" s="25">
        <f>MAX(0,N196-Q196)</f>
        <v>103768.94175951477</v>
      </c>
    </row>
    <row r="197" spans="2:18" ht="18" customHeight="1">
      <c r="B197" s="21">
        <f>ROW()-5</f>
        <v>192</v>
      </c>
      <c r="C197" s="22">
        <f>EDATE(Hipoteca!$C$7,B197-1)</f>
        <v>52140.0</v>
      </c>
      <c r="D197" s="23">
        <f>IFERROR(LOOKUP(2,1/((Hipoteca!$E$4:$E$9&lt;&gt;"")*(Hipoteca!$E$4:$E$9&lt;=C197)),Hipoteca!$F$4:$F$9),Hipoteca!$C$6)</f>
        <v>0.029</v>
      </c>
      <c r="E197" s="24">
        <f>J196</f>
        <v>81567.2036277125</v>
      </c>
      <c r="F197" s="24">
        <f>IF(E197&lt;=0.005,0,MIN(E197*(1+D197/12),IF(OR(Hipoteca!$C$8="Reducir cuota",D197&lt;&gt;D196),PMT(D197/12,K197,-E197),F196)))</f>
        <v>746.6003367545769</v>
      </c>
      <c r="G197" s="24">
        <f>E197*D197/12</f>
        <v>197.1207421003052</v>
      </c>
      <c r="H197" s="24">
        <f>IF(E197&lt;=0.005,0,MIN(E197,F197-G197))</f>
        <v>549.4795946542718</v>
      </c>
      <c r="I197" s="24">
        <f>MIN(E197-H197,SUMPRODUCT((YEAR(Hipoteca!$H$4:$H$15)=YEAR(C197))*(MONTH(Hipoteca!$H$4:$H$15)=MONTH(C197))*(Hipoteca!$H$4:$H$15&lt;&gt;"")*Hipoteca!$I$4:$I$15))</f>
        <v>0</v>
      </c>
      <c r="J197" s="24">
        <f>MAX(0,E197-H197-I197)</f>
        <v>81017.72403305823</v>
      </c>
      <c r="K197" s="21">
        <f>IF(E197&lt;=0.005,0,IF(Hipoteca!$C$8="Reducir cuota",$K$6-(B197-1),IFERROR(MAX(1,ROUNDUP(NPER(D196/12,-F196,E197),0)),$K$6-(B197-1))))</f>
        <v>128</v>
      </c>
      <c r="L197" s="21">
        <f>YEAR(C197)</f>
        <v>2042</v>
      </c>
      <c r="N197" s="25">
        <f>R196</f>
        <v>103768.94175951477</v>
      </c>
      <c r="O197" s="25">
        <f>IF(N197&lt;=0.005,0,IF(D197&lt;&gt;D196,PMT(D197/12,Hipoteca!$C$5*12-(B197-1),-N197),O196))</f>
        <v>748.6477272887904</v>
      </c>
      <c r="P197" s="25">
        <f>N197*D197/12</f>
        <v>250.77494258549405</v>
      </c>
      <c r="Q197" s="25">
        <f>IF(N197&lt;=0.005,0,MIN(N197,O197-P197))</f>
        <v>497.87278470329636</v>
      </c>
      <c r="R197" s="25">
        <f>MAX(0,N197-Q197)</f>
        <v>103271.06897481147</v>
      </c>
    </row>
    <row r="198" spans="2:18" ht="18" customHeight="1">
      <c r="B198" s="21">
        <f>ROW()-5</f>
        <v>193</v>
      </c>
      <c r="C198" s="22">
        <f>EDATE(Hipoteca!$C$7,B198-1)</f>
        <v>52171.0</v>
      </c>
      <c r="D198" s="23">
        <f>IFERROR(LOOKUP(2,1/((Hipoteca!$E$4:$E$9&lt;&gt;"")*(Hipoteca!$E$4:$E$9&lt;=C198)),Hipoteca!$F$4:$F$9),Hipoteca!$C$6)</f>
        <v>0.029</v>
      </c>
      <c r="E198" s="24">
        <f>J197</f>
        <v>81017.72403305823</v>
      </c>
      <c r="F198" s="24">
        <f>IF(E198&lt;=0.005,0,MIN(E198*(1+D198/12),IF(OR(Hipoteca!$C$8="Reducir cuota",D198&lt;&gt;D197),PMT(D198/12,K198,-E198),F197)))</f>
        <v>746.6003367545769</v>
      </c>
      <c r="G198" s="24">
        <f>E198*D198/12</f>
        <v>195.79283307989076</v>
      </c>
      <c r="H198" s="24">
        <f>IF(E198&lt;=0.005,0,MIN(E198,F198-G198))</f>
        <v>550.8075036746861</v>
      </c>
      <c r="I198" s="24">
        <f>MIN(E198-H198,SUMPRODUCT((YEAR(Hipoteca!$H$4:$H$15)=YEAR(C198))*(MONTH(Hipoteca!$H$4:$H$15)=MONTH(C198))*(Hipoteca!$H$4:$H$15&lt;&gt;"")*Hipoteca!$I$4:$I$15))</f>
        <v>0</v>
      </c>
      <c r="J198" s="24">
        <f>MAX(0,E198-H198-I198)</f>
        <v>80466.91652938354</v>
      </c>
      <c r="K198" s="21">
        <f>IF(E198&lt;=0.005,0,IF(Hipoteca!$C$8="Reducir cuota",$K$6-(B198-1),IFERROR(MAX(1,ROUNDUP(NPER(D197/12,-F197,E198),0)),$K$6-(B198-1))))</f>
        <v>127</v>
      </c>
      <c r="L198" s="21">
        <f>YEAR(C198)</f>
        <v>2042</v>
      </c>
      <c r="N198" s="25">
        <f>R197</f>
        <v>103271.06897481147</v>
      </c>
      <c r="O198" s="25">
        <f>IF(N198&lt;=0.005,0,IF(D198&lt;&gt;D197,PMT(D198/12,Hipoteca!$C$5*12-(B198-1),-N198),O197))</f>
        <v>748.6477272887904</v>
      </c>
      <c r="P198" s="25">
        <f>N198*D198/12</f>
        <v>249.57175002246106</v>
      </c>
      <c r="Q198" s="25">
        <f>IF(N198&lt;=0.005,0,MIN(N198,O198-P198))</f>
        <v>499.07597726632935</v>
      </c>
      <c r="R198" s="25">
        <f>MAX(0,N198-Q198)</f>
        <v>102771.99299754514</v>
      </c>
    </row>
    <row r="199" spans="2:18" ht="18" customHeight="1">
      <c r="B199" s="21">
        <f>ROW()-5</f>
        <v>194</v>
      </c>
      <c r="C199" s="22">
        <f>EDATE(Hipoteca!$C$7,B199-1)</f>
        <v>52201.0</v>
      </c>
      <c r="D199" s="23">
        <f>IFERROR(LOOKUP(2,1/((Hipoteca!$E$4:$E$9&lt;&gt;"")*(Hipoteca!$E$4:$E$9&lt;=C199)),Hipoteca!$F$4:$F$9),Hipoteca!$C$6)</f>
        <v>0.029</v>
      </c>
      <c r="E199" s="24">
        <f>J198</f>
        <v>80466.91652938354</v>
      </c>
      <c r="F199" s="24">
        <f>IF(E199&lt;=0.005,0,MIN(E199*(1+D199/12),IF(OR(Hipoteca!$C$8="Reducir cuota",D199&lt;&gt;D198),PMT(D199/12,K199,-E199),F198)))</f>
        <v>746.6003367545769</v>
      </c>
      <c r="G199" s="24">
        <f>E199*D199/12</f>
        <v>194.46171494601023</v>
      </c>
      <c r="H199" s="24">
        <f>IF(E199&lt;=0.005,0,MIN(E199,F199-G199))</f>
        <v>552.1386218085667</v>
      </c>
      <c r="I199" s="24">
        <f>MIN(E199-H199,SUMPRODUCT((YEAR(Hipoteca!$H$4:$H$15)=YEAR(C199))*(MONTH(Hipoteca!$H$4:$H$15)=MONTH(C199))*(Hipoteca!$H$4:$H$15&lt;&gt;"")*Hipoteca!$I$4:$I$15))</f>
        <v>0</v>
      </c>
      <c r="J199" s="24">
        <f>MAX(0,E199-H199-I199)</f>
        <v>79914.77790757497</v>
      </c>
      <c r="K199" s="21">
        <f>IF(E199&lt;=0.005,0,IF(Hipoteca!$C$8="Reducir cuota",$K$6-(B199-1),IFERROR(MAX(1,ROUNDUP(NPER(D198/12,-F198,E199),0)),$K$6-(B199-1))))</f>
        <v>126</v>
      </c>
      <c r="L199" s="21">
        <f>YEAR(C199)</f>
        <v>2042</v>
      </c>
      <c r="N199" s="25">
        <f>R198</f>
        <v>102771.99299754514</v>
      </c>
      <c r="O199" s="25">
        <f>IF(N199&lt;=0.005,0,IF(D199&lt;&gt;D198,PMT(D199/12,Hipoteca!$C$5*12-(B199-1),-N199),O198))</f>
        <v>748.6477272887904</v>
      </c>
      <c r="P199" s="25">
        <f>N199*D199/12</f>
        <v>248.36564974406744</v>
      </c>
      <c r="Q199" s="25">
        <f>IF(N199&lt;=0.005,0,MIN(N199,O199-P199))</f>
        <v>500.28207754472294</v>
      </c>
      <c r="R199" s="25">
        <f>MAX(0,N199-Q199)</f>
        <v>102271.71092000042</v>
      </c>
    </row>
    <row r="200" spans="2:18" ht="18" customHeight="1">
      <c r="B200" s="21">
        <f>ROW()-5</f>
        <v>195</v>
      </c>
      <c r="C200" s="22">
        <f>EDATE(Hipoteca!$C$7,B200-1)</f>
        <v>52232.0</v>
      </c>
      <c r="D200" s="23">
        <f>IFERROR(LOOKUP(2,1/((Hipoteca!$E$4:$E$9&lt;&gt;"")*(Hipoteca!$E$4:$E$9&lt;=C200)),Hipoteca!$F$4:$F$9),Hipoteca!$C$6)</f>
        <v>0.029</v>
      </c>
      <c r="E200" s="24">
        <f>J199</f>
        <v>79914.77790757497</v>
      </c>
      <c r="F200" s="24">
        <f>IF(E200&lt;=0.005,0,MIN(E200*(1+D200/12),IF(OR(Hipoteca!$C$8="Reducir cuota",D200&lt;&gt;D199),PMT(D200/12,K200,-E200),F199)))</f>
        <v>746.6003367545769</v>
      </c>
      <c r="G200" s="24">
        <f>E200*D200/12</f>
        <v>193.12737994330618</v>
      </c>
      <c r="H200" s="24">
        <f>IF(E200&lt;=0.005,0,MIN(E200,F200-G200))</f>
        <v>553.4729568112707</v>
      </c>
      <c r="I200" s="24">
        <f>MIN(E200-H200,SUMPRODUCT((YEAR(Hipoteca!$H$4:$H$15)=YEAR(C200))*(MONTH(Hipoteca!$H$4:$H$15)=MONTH(C200))*(Hipoteca!$H$4:$H$15&lt;&gt;"")*Hipoteca!$I$4:$I$15))</f>
        <v>0</v>
      </c>
      <c r="J200" s="24">
        <f>MAX(0,E200-H200-I200)</f>
        <v>79361.3049507637</v>
      </c>
      <c r="K200" s="21">
        <f>IF(E200&lt;=0.005,0,IF(Hipoteca!$C$8="Reducir cuota",$K$6-(B200-1),IFERROR(MAX(1,ROUNDUP(NPER(D199/12,-F199,E200),0)),$K$6-(B200-1))))</f>
        <v>125</v>
      </c>
      <c r="L200" s="21">
        <f>YEAR(C200)</f>
        <v>2043</v>
      </c>
      <c r="N200" s="25">
        <f>R199</f>
        <v>102271.71092000042</v>
      </c>
      <c r="O200" s="25">
        <f>IF(N200&lt;=0.005,0,IF(D200&lt;&gt;D199,PMT(D200/12,Hipoteca!$C$5*12-(B200-1),-N200),O199))</f>
        <v>748.6477272887904</v>
      </c>
      <c r="P200" s="25">
        <f>N200*D200/12</f>
        <v>247.15663472333438</v>
      </c>
      <c r="Q200" s="25">
        <f>IF(N200&lt;=0.005,0,MIN(N200,O200-P200))</f>
        <v>501.49109256545603</v>
      </c>
      <c r="R200" s="25">
        <f>MAX(0,N200-Q200)</f>
        <v>101770.21982743496</v>
      </c>
    </row>
    <row r="201" spans="2:18" ht="18" customHeight="1">
      <c r="B201" s="21">
        <f>ROW()-5</f>
        <v>196</v>
      </c>
      <c r="C201" s="22">
        <f>EDATE(Hipoteca!$C$7,B201-1)</f>
        <v>52263.0</v>
      </c>
      <c r="D201" s="23">
        <f>IFERROR(LOOKUP(2,1/((Hipoteca!$E$4:$E$9&lt;&gt;"")*(Hipoteca!$E$4:$E$9&lt;=C201)),Hipoteca!$F$4:$F$9),Hipoteca!$C$6)</f>
        <v>0.029</v>
      </c>
      <c r="E201" s="24">
        <f>J200</f>
        <v>79361.3049507637</v>
      </c>
      <c r="F201" s="24">
        <f>IF(E201&lt;=0.005,0,MIN(E201*(1+D201/12),IF(OR(Hipoteca!$C$8="Reducir cuota",D201&lt;&gt;D200),PMT(D201/12,K201,-E201),F200)))</f>
        <v>746.6003367545769</v>
      </c>
      <c r="G201" s="24">
        <f>E201*D201/12</f>
        <v>191.78982029767894</v>
      </c>
      <c r="H201" s="24">
        <f>IF(E201&lt;=0.005,0,MIN(E201,F201-G201))</f>
        <v>554.810516456898</v>
      </c>
      <c r="I201" s="24">
        <f>MIN(E201-H201,SUMPRODUCT((YEAR(Hipoteca!$H$4:$H$15)=YEAR(C201))*(MONTH(Hipoteca!$H$4:$H$15)=MONTH(C201))*(Hipoteca!$H$4:$H$15&lt;&gt;"")*Hipoteca!$I$4:$I$15))</f>
        <v>0</v>
      </c>
      <c r="J201" s="24">
        <f>MAX(0,E201-H201-I201)</f>
        <v>78806.4944343068</v>
      </c>
      <c r="K201" s="21">
        <f>IF(E201&lt;=0.005,0,IF(Hipoteca!$C$8="Reducir cuota",$K$6-(B201-1),IFERROR(MAX(1,ROUNDUP(NPER(D200/12,-F200,E201),0)),$K$6-(B201-1))))</f>
        <v>124</v>
      </c>
      <c r="L201" s="21">
        <f>YEAR(C201)</f>
        <v>2043</v>
      </c>
      <c r="N201" s="25">
        <f>R200</f>
        <v>101770.21982743496</v>
      </c>
      <c r="O201" s="25">
        <f>IF(N201&lt;=0.005,0,IF(D201&lt;&gt;D200,PMT(D201/12,Hipoteca!$C$5*12-(B201-1),-N201),O200))</f>
        <v>748.6477272887904</v>
      </c>
      <c r="P201" s="25">
        <f>N201*D201/12</f>
        <v>245.94469791630118</v>
      </c>
      <c r="Q201" s="25">
        <f>IF(N201&lt;=0.005,0,MIN(N201,O201-P201))</f>
        <v>502.70302937248925</v>
      </c>
      <c r="R201" s="25">
        <f>MAX(0,N201-Q201)</f>
        <v>101267.51679806248</v>
      </c>
    </row>
    <row r="202" spans="2:18" ht="18" customHeight="1">
      <c r="B202" s="21">
        <f>ROW()-5</f>
        <v>197</v>
      </c>
      <c r="C202" s="22">
        <f>EDATE(Hipoteca!$C$7,B202-1)</f>
        <v>52291.0</v>
      </c>
      <c r="D202" s="23">
        <f>IFERROR(LOOKUP(2,1/((Hipoteca!$E$4:$E$9&lt;&gt;"")*(Hipoteca!$E$4:$E$9&lt;=C202)),Hipoteca!$F$4:$F$9),Hipoteca!$C$6)</f>
        <v>0.029</v>
      </c>
      <c r="E202" s="24">
        <f>J201</f>
        <v>78806.4944343068</v>
      </c>
      <c r="F202" s="24">
        <f>IF(E202&lt;=0.005,0,MIN(E202*(1+D202/12),IF(OR(Hipoteca!$C$8="Reducir cuota",D202&lt;&gt;D201),PMT(D202/12,K202,-E202),F201)))</f>
        <v>746.6003367545769</v>
      </c>
      <c r="G202" s="24">
        <f>E202*D202/12</f>
        <v>190.44902821624146</v>
      </c>
      <c r="H202" s="24">
        <f>IF(E202&lt;=0.005,0,MIN(E202,F202-G202))</f>
        <v>556.1513085383355</v>
      </c>
      <c r="I202" s="24">
        <f>MIN(E202-H202,SUMPRODUCT((YEAR(Hipoteca!$H$4:$H$15)=YEAR(C202))*(MONTH(Hipoteca!$H$4:$H$15)=MONTH(C202))*(Hipoteca!$H$4:$H$15&lt;&gt;"")*Hipoteca!$I$4:$I$15))</f>
        <v>0</v>
      </c>
      <c r="J202" s="24">
        <f>MAX(0,E202-H202-I202)</f>
        <v>78250.34312576847</v>
      </c>
      <c r="K202" s="21">
        <f>IF(E202&lt;=0.005,0,IF(Hipoteca!$C$8="Reducir cuota",$K$6-(B202-1),IFERROR(MAX(1,ROUNDUP(NPER(D201/12,-F201,E202),0)),$K$6-(B202-1))))</f>
        <v>123</v>
      </c>
      <c r="L202" s="21">
        <f>YEAR(C202)</f>
        <v>2043</v>
      </c>
      <c r="N202" s="25">
        <f>R201</f>
        <v>101267.51679806248</v>
      </c>
      <c r="O202" s="25">
        <f>IF(N202&lt;=0.005,0,IF(D202&lt;&gt;D201,PMT(D202/12,Hipoteca!$C$5*12-(B202-1),-N202),O201))</f>
        <v>748.6477272887904</v>
      </c>
      <c r="P202" s="25">
        <f>N202*D202/12</f>
        <v>244.72983226198434</v>
      </c>
      <c r="Q202" s="25">
        <f>IF(N202&lt;=0.005,0,MIN(N202,O202-P202))</f>
        <v>503.91789502680604</v>
      </c>
      <c r="R202" s="25">
        <f>MAX(0,N202-Q202)</f>
        <v>100763.59890303567</v>
      </c>
    </row>
    <row r="203" spans="2:18" ht="18" customHeight="1">
      <c r="B203" s="21">
        <f>ROW()-5</f>
        <v>198</v>
      </c>
      <c r="C203" s="22">
        <f>EDATE(Hipoteca!$C$7,B203-1)</f>
        <v>52322.0</v>
      </c>
      <c r="D203" s="23">
        <f>IFERROR(LOOKUP(2,1/((Hipoteca!$E$4:$E$9&lt;&gt;"")*(Hipoteca!$E$4:$E$9&lt;=C203)),Hipoteca!$F$4:$F$9),Hipoteca!$C$6)</f>
        <v>0.029</v>
      </c>
      <c r="E203" s="24">
        <f>J202</f>
        <v>78250.34312576847</v>
      </c>
      <c r="F203" s="24">
        <f>IF(E203&lt;=0.005,0,MIN(E203*(1+D203/12),IF(OR(Hipoteca!$C$8="Reducir cuota",D203&lt;&gt;D202),PMT(D203/12,K203,-E203),F202)))</f>
        <v>746.6003367545769</v>
      </c>
      <c r="G203" s="24">
        <f>E203*D203/12</f>
        <v>189.10499588727382</v>
      </c>
      <c r="H203" s="24">
        <f>IF(E203&lt;=0.005,0,MIN(E203,F203-G203))</f>
        <v>557.4953408673031</v>
      </c>
      <c r="I203" s="24">
        <f>MIN(E203-H203,SUMPRODUCT((YEAR(Hipoteca!$H$4:$H$15)=YEAR(C203))*(MONTH(Hipoteca!$H$4:$H$15)=MONTH(C203))*(Hipoteca!$H$4:$H$15&lt;&gt;"")*Hipoteca!$I$4:$I$15))</f>
        <v>0</v>
      </c>
      <c r="J203" s="24">
        <f>MAX(0,E203-H203-I203)</f>
        <v>77692.84778490117</v>
      </c>
      <c r="K203" s="21">
        <f>IF(E203&lt;=0.005,0,IF(Hipoteca!$C$8="Reducir cuota",$K$6-(B203-1),IFERROR(MAX(1,ROUNDUP(NPER(D202/12,-F202,E203),0)),$K$6-(B203-1))))</f>
        <v>122</v>
      </c>
      <c r="L203" s="21">
        <f>YEAR(C203)</f>
        <v>2043</v>
      </c>
      <c r="N203" s="25">
        <f>R202</f>
        <v>100763.59890303567</v>
      </c>
      <c r="O203" s="25">
        <f>IF(N203&lt;=0.005,0,IF(D203&lt;&gt;D202,PMT(D203/12,Hipoteca!$C$5*12-(B203-1),-N203),O202))</f>
        <v>748.6477272887904</v>
      </c>
      <c r="P203" s="25">
        <f>N203*D203/12</f>
        <v>243.51203068233622</v>
      </c>
      <c r="Q203" s="25">
        <f>IF(N203&lt;=0.005,0,MIN(N203,O203-P203))</f>
        <v>505.1356966064542</v>
      </c>
      <c r="R203" s="25">
        <f>MAX(0,N203-Q203)</f>
        <v>100258.46320642922</v>
      </c>
    </row>
    <row r="204" spans="2:18" ht="18" customHeight="1">
      <c r="B204" s="21">
        <f>ROW()-5</f>
        <v>199</v>
      </c>
      <c r="C204" s="22">
        <f>EDATE(Hipoteca!$C$7,B204-1)</f>
        <v>52352.0</v>
      </c>
      <c r="D204" s="23">
        <f>IFERROR(LOOKUP(2,1/((Hipoteca!$E$4:$E$9&lt;&gt;"")*(Hipoteca!$E$4:$E$9&lt;=C204)),Hipoteca!$F$4:$F$9),Hipoteca!$C$6)</f>
        <v>0.029</v>
      </c>
      <c r="E204" s="24">
        <f>J203</f>
        <v>77692.84778490117</v>
      </c>
      <c r="F204" s="24">
        <f>IF(E204&lt;=0.005,0,MIN(E204*(1+D204/12),IF(OR(Hipoteca!$C$8="Reducir cuota",D204&lt;&gt;D203),PMT(D204/12,K204,-E204),F203)))</f>
        <v>746.6003367545769</v>
      </c>
      <c r="G204" s="24">
        <f>E204*D204/12</f>
        <v>187.75771548017784</v>
      </c>
      <c r="H204" s="24">
        <f>IF(E204&lt;=0.005,0,MIN(E204,F204-G204))</f>
        <v>558.8426212743991</v>
      </c>
      <c r="I204" s="24">
        <f>MIN(E204-H204,SUMPRODUCT((YEAR(Hipoteca!$H$4:$H$15)=YEAR(C204))*(MONTH(Hipoteca!$H$4:$H$15)=MONTH(C204))*(Hipoteca!$H$4:$H$15&lt;&gt;"")*Hipoteca!$I$4:$I$15))</f>
        <v>0</v>
      </c>
      <c r="J204" s="24">
        <f>MAX(0,E204-H204-I204)</f>
        <v>77134.00516362677</v>
      </c>
      <c r="K204" s="21">
        <f>IF(E204&lt;=0.005,0,IF(Hipoteca!$C$8="Reducir cuota",$K$6-(B204-1),IFERROR(MAX(1,ROUNDUP(NPER(D203/12,-F203,E204),0)),$K$6-(B204-1))))</f>
        <v>121</v>
      </c>
      <c r="L204" s="21">
        <f>YEAR(C204)</f>
        <v>2043</v>
      </c>
      <c r="N204" s="25">
        <f>R203</f>
        <v>100258.46320642922</v>
      </c>
      <c r="O204" s="25">
        <f>IF(N204&lt;=0.005,0,IF(D204&lt;&gt;D203,PMT(D204/12,Hipoteca!$C$5*12-(B204-1),-N204),O203))</f>
        <v>748.6477272887904</v>
      </c>
      <c r="P204" s="25">
        <f>N204*D204/12</f>
        <v>242.29128608220398</v>
      </c>
      <c r="Q204" s="25">
        <f>IF(N204&lt;=0.005,0,MIN(N204,O204-P204))</f>
        <v>506.3564412065864</v>
      </c>
      <c r="R204" s="25">
        <f>MAX(0,N204-Q204)</f>
        <v>99752.10676522263</v>
      </c>
    </row>
    <row r="205" spans="2:18" ht="18" customHeight="1">
      <c r="B205" s="21">
        <f>ROW()-5</f>
        <v>200</v>
      </c>
      <c r="C205" s="22">
        <f>EDATE(Hipoteca!$C$7,B205-1)</f>
        <v>52383.0</v>
      </c>
      <c r="D205" s="23">
        <f>IFERROR(LOOKUP(2,1/((Hipoteca!$E$4:$E$9&lt;&gt;"")*(Hipoteca!$E$4:$E$9&lt;=C205)),Hipoteca!$F$4:$F$9),Hipoteca!$C$6)</f>
        <v>0.029</v>
      </c>
      <c r="E205" s="24">
        <f>J204</f>
        <v>77134.00516362677</v>
      </c>
      <c r="F205" s="24">
        <f>IF(E205&lt;=0.005,0,MIN(E205*(1+D205/12),IF(OR(Hipoteca!$C$8="Reducir cuota",D205&lt;&gt;D204),PMT(D205/12,K205,-E205),F204)))</f>
        <v>746.6003367545769</v>
      </c>
      <c r="G205" s="24">
        <f>E205*D205/12</f>
        <v>186.4071791454314</v>
      </c>
      <c r="H205" s="24">
        <f>IF(E205&lt;=0.005,0,MIN(E205,F205-G205))</f>
        <v>560.1931576091455</v>
      </c>
      <c r="I205" s="24">
        <f>MIN(E205-H205,SUMPRODUCT((YEAR(Hipoteca!$H$4:$H$15)=YEAR(C205))*(MONTH(Hipoteca!$H$4:$H$15)=MONTH(C205))*(Hipoteca!$H$4:$H$15&lt;&gt;"")*Hipoteca!$I$4:$I$15))</f>
        <v>0</v>
      </c>
      <c r="J205" s="24">
        <f>MAX(0,E205-H205-I205)</f>
        <v>76573.81200601763</v>
      </c>
      <c r="K205" s="21">
        <f>IF(E205&lt;=0.005,0,IF(Hipoteca!$C$8="Reducir cuota",$K$6-(B205-1),IFERROR(MAX(1,ROUNDUP(NPER(D204/12,-F204,E205),0)),$K$6-(B205-1))))</f>
        <v>120</v>
      </c>
      <c r="L205" s="21">
        <f>YEAR(C205)</f>
        <v>2043</v>
      </c>
      <c r="N205" s="25">
        <f>R204</f>
        <v>99752.10676522263</v>
      </c>
      <c r="O205" s="25">
        <f>IF(N205&lt;=0.005,0,IF(D205&lt;&gt;D204,PMT(D205/12,Hipoteca!$C$5*12-(B205-1),-N205),O204))</f>
        <v>748.6477272887904</v>
      </c>
      <c r="P205" s="25">
        <f>N205*D205/12</f>
        <v>241.06759134928805</v>
      </c>
      <c r="Q205" s="25">
        <f>IF(N205&lt;=0.005,0,MIN(N205,O205-P205))</f>
        <v>507.5801359395024</v>
      </c>
      <c r="R205" s="25">
        <f>MAX(0,N205-Q205)</f>
        <v>99244.52662928314</v>
      </c>
    </row>
    <row r="206" spans="2:18" ht="18" customHeight="1">
      <c r="B206" s="21">
        <f>ROW()-5</f>
        <v>201</v>
      </c>
      <c r="C206" s="22">
        <f>EDATE(Hipoteca!$C$7,B206-1)</f>
        <v>52413.0</v>
      </c>
      <c r="D206" s="23">
        <f>IFERROR(LOOKUP(2,1/((Hipoteca!$E$4:$E$9&lt;&gt;"")*(Hipoteca!$E$4:$E$9&lt;=C206)),Hipoteca!$F$4:$F$9),Hipoteca!$C$6)</f>
        <v>0.029</v>
      </c>
      <c r="E206" s="24">
        <f>J205</f>
        <v>76573.81200601763</v>
      </c>
      <c r="F206" s="24">
        <f>IF(E206&lt;=0.005,0,MIN(E206*(1+D206/12),IF(OR(Hipoteca!$C$8="Reducir cuota",D206&lt;&gt;D205),PMT(D206/12,K206,-E206),F205)))</f>
        <v>746.6003367545769</v>
      </c>
      <c r="G206" s="24">
        <f>E206*D206/12</f>
        <v>185.05337901454263</v>
      </c>
      <c r="H206" s="24">
        <f>IF(E206&lt;=0.005,0,MIN(E206,F206-G206))</f>
        <v>561.5469577400343</v>
      </c>
      <c r="I206" s="24">
        <f>MIN(E206-H206,SUMPRODUCT((YEAR(Hipoteca!$H$4:$H$15)=YEAR(C206))*(MONTH(Hipoteca!$H$4:$H$15)=MONTH(C206))*(Hipoteca!$H$4:$H$15&lt;&gt;"")*Hipoteca!$I$4:$I$15))</f>
        <v>0</v>
      </c>
      <c r="J206" s="24">
        <f>MAX(0,E206-H206-I206)</f>
        <v>76012.2650482776</v>
      </c>
      <c r="K206" s="21">
        <f>IF(E206&lt;=0.005,0,IF(Hipoteca!$C$8="Reducir cuota",$K$6-(B206-1),IFERROR(MAX(1,ROUNDUP(NPER(D205/12,-F205,E206),0)),$K$6-(B206-1))))</f>
        <v>119</v>
      </c>
      <c r="L206" s="21">
        <f>YEAR(C206)</f>
        <v>2043</v>
      </c>
      <c r="N206" s="25">
        <f>R205</f>
        <v>99244.52662928314</v>
      </c>
      <c r="O206" s="25">
        <f>IF(N206&lt;=0.005,0,IF(D206&lt;&gt;D205,PMT(D206/12,Hipoteca!$C$5*12-(B206-1),-N206),O205))</f>
        <v>748.6477272887904</v>
      </c>
      <c r="P206" s="25">
        <f>N206*D206/12</f>
        <v>239.84093935410093</v>
      </c>
      <c r="Q206" s="25">
        <f>IF(N206&lt;=0.005,0,MIN(N206,O206-P206))</f>
        <v>508.8067879346895</v>
      </c>
      <c r="R206" s="25">
        <f>MAX(0,N206-Q206)</f>
        <v>98735.71984134844</v>
      </c>
    </row>
    <row r="207" spans="2:18" ht="18" customHeight="1">
      <c r="B207" s="21">
        <f>ROW()-5</f>
        <v>202</v>
      </c>
      <c r="C207" s="22">
        <f>EDATE(Hipoteca!$C$7,B207-1)</f>
        <v>52444.0</v>
      </c>
      <c r="D207" s="23">
        <f>IFERROR(LOOKUP(2,1/((Hipoteca!$E$4:$E$9&lt;&gt;"")*(Hipoteca!$E$4:$E$9&lt;=C207)),Hipoteca!$F$4:$F$9),Hipoteca!$C$6)</f>
        <v>0.029</v>
      </c>
      <c r="E207" s="24">
        <f>J206</f>
        <v>76012.2650482776</v>
      </c>
      <c r="F207" s="24">
        <f>IF(E207&lt;=0.005,0,MIN(E207*(1+D207/12),IF(OR(Hipoteca!$C$8="Reducir cuota",D207&lt;&gt;D206),PMT(D207/12,K207,-E207),F206)))</f>
        <v>746.6003367545769</v>
      </c>
      <c r="G207" s="24">
        <f>E207*D207/12</f>
        <v>183.69630720000418</v>
      </c>
      <c r="H207" s="24">
        <f>IF(E207&lt;=0.005,0,MIN(E207,F207-G207))</f>
        <v>562.9040295545727</v>
      </c>
      <c r="I207" s="24">
        <f>MIN(E207-H207,SUMPRODUCT((YEAR(Hipoteca!$H$4:$H$15)=YEAR(C207))*(MONTH(Hipoteca!$H$4:$H$15)=MONTH(C207))*(Hipoteca!$H$4:$H$15&lt;&gt;"")*Hipoteca!$I$4:$I$15))</f>
        <v>0</v>
      </c>
      <c r="J207" s="24">
        <f>MAX(0,E207-H207-I207)</f>
        <v>75449.36101872302</v>
      </c>
      <c r="K207" s="21">
        <f>IF(E207&lt;=0.005,0,IF(Hipoteca!$C$8="Reducir cuota",$K$6-(B207-1),IFERROR(MAX(1,ROUNDUP(NPER(D206/12,-F206,E207),0)),$K$6-(B207-1))))</f>
        <v>118</v>
      </c>
      <c r="L207" s="21">
        <f>YEAR(C207)</f>
        <v>2043</v>
      </c>
      <c r="N207" s="25">
        <f>R206</f>
        <v>98735.71984134844</v>
      </c>
      <c r="O207" s="25">
        <f>IF(N207&lt;=0.005,0,IF(D207&lt;&gt;D206,PMT(D207/12,Hipoteca!$C$5*12-(B207-1),-N207),O206))</f>
        <v>748.6477272887904</v>
      </c>
      <c r="P207" s="25">
        <f>N207*D207/12</f>
        <v>238.61132294992544</v>
      </c>
      <c r="Q207" s="25">
        <f>IF(N207&lt;=0.005,0,MIN(N207,O207-P207))</f>
        <v>510.03640433886494</v>
      </c>
      <c r="R207" s="25">
        <f>MAX(0,N207-Q207)</f>
        <v>98225.68343700957</v>
      </c>
    </row>
    <row r="208" spans="2:18" ht="18" customHeight="1">
      <c r="B208" s="21">
        <f>ROW()-5</f>
        <v>203</v>
      </c>
      <c r="C208" s="22">
        <f>EDATE(Hipoteca!$C$7,B208-1)</f>
        <v>52475.0</v>
      </c>
      <c r="D208" s="23">
        <f>IFERROR(LOOKUP(2,1/((Hipoteca!$E$4:$E$9&lt;&gt;"")*(Hipoteca!$E$4:$E$9&lt;=C208)),Hipoteca!$F$4:$F$9),Hipoteca!$C$6)</f>
        <v>0.029</v>
      </c>
      <c r="E208" s="24">
        <f>J207</f>
        <v>75449.36101872302</v>
      </c>
      <c r="F208" s="24">
        <f>IF(E208&lt;=0.005,0,MIN(E208*(1+D208/12),IF(OR(Hipoteca!$C$8="Reducir cuota",D208&lt;&gt;D207),PMT(D208/12,K208,-E208),F207)))</f>
        <v>746.6003367545769</v>
      </c>
      <c r="G208" s="24">
        <f>E208*D208/12</f>
        <v>182.33595579524732</v>
      </c>
      <c r="H208" s="24">
        <f>IF(E208&lt;=0.005,0,MIN(E208,F208-G208))</f>
        <v>564.2643809593296</v>
      </c>
      <c r="I208" s="24">
        <f>MIN(E208-H208,SUMPRODUCT((YEAR(Hipoteca!$H$4:$H$15)=YEAR(C208))*(MONTH(Hipoteca!$H$4:$H$15)=MONTH(C208))*(Hipoteca!$H$4:$H$15&lt;&gt;"")*Hipoteca!$I$4:$I$15))</f>
        <v>0</v>
      </c>
      <c r="J208" s="24">
        <f>MAX(0,E208-H208-I208)</f>
        <v>74885.0966377637</v>
      </c>
      <c r="K208" s="21">
        <f>IF(E208&lt;=0.005,0,IF(Hipoteca!$C$8="Reducir cuota",$K$6-(B208-1),IFERROR(MAX(1,ROUNDUP(NPER(D207/12,-F207,E208),0)),$K$6-(B208-1))))</f>
        <v>117</v>
      </c>
      <c r="L208" s="21">
        <f>YEAR(C208)</f>
        <v>2043</v>
      </c>
      <c r="N208" s="25">
        <f>R207</f>
        <v>98225.68343700957</v>
      </c>
      <c r="O208" s="25">
        <f>IF(N208&lt;=0.005,0,IF(D208&lt;&gt;D207,PMT(D208/12,Hipoteca!$C$5*12-(B208-1),-N208),O207))</f>
        <v>748.6477272887904</v>
      </c>
      <c r="P208" s="25">
        <f>N208*D208/12</f>
        <v>237.37873497277315</v>
      </c>
      <c r="Q208" s="25">
        <f>IF(N208&lt;=0.005,0,MIN(N208,O208-P208))</f>
        <v>511.26899231601726</v>
      </c>
      <c r="R208" s="25">
        <f>MAX(0,N208-Q208)</f>
        <v>97714.41444469355</v>
      </c>
    </row>
    <row r="209" spans="2:18" ht="18" customHeight="1">
      <c r="B209" s="21">
        <f>ROW()-5</f>
        <v>204</v>
      </c>
      <c r="C209" s="22">
        <f>EDATE(Hipoteca!$C$7,B209-1)</f>
        <v>52505.0</v>
      </c>
      <c r="D209" s="23">
        <f>IFERROR(LOOKUP(2,1/((Hipoteca!$E$4:$E$9&lt;&gt;"")*(Hipoteca!$E$4:$E$9&lt;=C209)),Hipoteca!$F$4:$F$9),Hipoteca!$C$6)</f>
        <v>0.029</v>
      </c>
      <c r="E209" s="24">
        <f>J208</f>
        <v>74885.0966377637</v>
      </c>
      <c r="F209" s="24">
        <f>IF(E209&lt;=0.005,0,MIN(E209*(1+D209/12),IF(OR(Hipoteca!$C$8="Reducir cuota",D209&lt;&gt;D208),PMT(D209/12,K209,-E209),F208)))</f>
        <v>746.6003367545769</v>
      </c>
      <c r="G209" s="24">
        <f>E209*D209/12</f>
        <v>180.97231687459558</v>
      </c>
      <c r="H209" s="24">
        <f>IF(E209&lt;=0.005,0,MIN(E209,F209-G209))</f>
        <v>565.6280198799814</v>
      </c>
      <c r="I209" s="24">
        <f>MIN(E209-H209,SUMPRODUCT((YEAR(Hipoteca!$H$4:$H$15)=YEAR(C209))*(MONTH(Hipoteca!$H$4:$H$15)=MONTH(C209))*(Hipoteca!$H$4:$H$15&lt;&gt;"")*Hipoteca!$I$4:$I$15))</f>
        <v>0</v>
      </c>
      <c r="J209" s="24">
        <f>MAX(0,E209-H209-I209)</f>
        <v>74319.46861788371</v>
      </c>
      <c r="K209" s="21">
        <f>IF(E209&lt;=0.005,0,IF(Hipoteca!$C$8="Reducir cuota",$K$6-(B209-1),IFERROR(MAX(1,ROUNDUP(NPER(D208/12,-F208,E209),0)),$K$6-(B209-1))))</f>
        <v>116</v>
      </c>
      <c r="L209" s="21">
        <f>YEAR(C209)</f>
        <v>2043</v>
      </c>
      <c r="N209" s="25">
        <f>R208</f>
        <v>97714.41444469355</v>
      </c>
      <c r="O209" s="25">
        <f>IF(N209&lt;=0.005,0,IF(D209&lt;&gt;D208,PMT(D209/12,Hipoteca!$C$5*12-(B209-1),-N209),O208))</f>
        <v>748.6477272887904</v>
      </c>
      <c r="P209" s="25">
        <f>N209*D209/12</f>
        <v>236.14316824134278</v>
      </c>
      <c r="Q209" s="25">
        <f>IF(N209&lt;=0.005,0,MIN(N209,O209-P209))</f>
        <v>512.5045590474476</v>
      </c>
      <c r="R209" s="25">
        <f>MAX(0,N209-Q209)</f>
        <v>97201.9098856461</v>
      </c>
    </row>
    <row r="210" spans="2:18" ht="18" customHeight="1">
      <c r="B210" s="21">
        <f>ROW()-5</f>
        <v>205</v>
      </c>
      <c r="C210" s="22">
        <f>EDATE(Hipoteca!$C$7,B210-1)</f>
        <v>52536.0</v>
      </c>
      <c r="D210" s="23">
        <f>IFERROR(LOOKUP(2,1/((Hipoteca!$E$4:$E$9&lt;&gt;"")*(Hipoteca!$E$4:$E$9&lt;=C210)),Hipoteca!$F$4:$F$9),Hipoteca!$C$6)</f>
        <v>0.029</v>
      </c>
      <c r="E210" s="24">
        <f>J209</f>
        <v>74319.46861788371</v>
      </c>
      <c r="F210" s="24">
        <f>IF(E210&lt;=0.005,0,MIN(E210*(1+D210/12),IF(OR(Hipoteca!$C$8="Reducir cuota",D210&lt;&gt;D209),PMT(D210/12,K210,-E210),F209)))</f>
        <v>746.6003367545769</v>
      </c>
      <c r="G210" s="24">
        <f>E210*D210/12</f>
        <v>179.60538249321897</v>
      </c>
      <c r="H210" s="24">
        <f>IF(E210&lt;=0.005,0,MIN(E210,F210-G210))</f>
        <v>566.994954261358</v>
      </c>
      <c r="I210" s="24">
        <f>MIN(E210-H210,SUMPRODUCT((YEAR(Hipoteca!$H$4:$H$15)=YEAR(C210))*(MONTH(Hipoteca!$H$4:$H$15)=MONTH(C210))*(Hipoteca!$H$4:$H$15&lt;&gt;"")*Hipoteca!$I$4:$I$15))</f>
        <v>0</v>
      </c>
      <c r="J210" s="24">
        <f>MAX(0,E210-H210-I210)</f>
        <v>73752.47366362235</v>
      </c>
      <c r="K210" s="21">
        <f>IF(E210&lt;=0.005,0,IF(Hipoteca!$C$8="Reducir cuota",$K$6-(B210-1),IFERROR(MAX(1,ROUNDUP(NPER(D209/12,-F209,E210),0)),$K$6-(B210-1))))</f>
        <v>115</v>
      </c>
      <c r="L210" s="21">
        <f>YEAR(C210)</f>
        <v>2043</v>
      </c>
      <c r="N210" s="25">
        <f>R209</f>
        <v>97201.9098856461</v>
      </c>
      <c r="O210" s="25">
        <f>IF(N210&lt;=0.005,0,IF(D210&lt;&gt;D209,PMT(D210/12,Hipoteca!$C$5*12-(B210-1),-N210),O209))</f>
        <v>748.6477272887904</v>
      </c>
      <c r="P210" s="25">
        <f>N210*D210/12</f>
        <v>234.90461555697811</v>
      </c>
      <c r="Q210" s="25">
        <f>IF(N210&lt;=0.005,0,MIN(N210,O210-P210))</f>
        <v>513.7431117318123</v>
      </c>
      <c r="R210" s="25">
        <f>MAX(0,N210-Q210)</f>
        <v>96688.16677391429</v>
      </c>
    </row>
    <row r="211" spans="2:18" ht="18" customHeight="1">
      <c r="B211" s="21">
        <f>ROW()-5</f>
        <v>206</v>
      </c>
      <c r="C211" s="22">
        <f>EDATE(Hipoteca!$C$7,B211-1)</f>
        <v>52566.0</v>
      </c>
      <c r="D211" s="23">
        <f>IFERROR(LOOKUP(2,1/((Hipoteca!$E$4:$E$9&lt;&gt;"")*(Hipoteca!$E$4:$E$9&lt;=C211)),Hipoteca!$F$4:$F$9),Hipoteca!$C$6)</f>
        <v>0.029</v>
      </c>
      <c r="E211" s="24">
        <f>J210</f>
        <v>73752.47366362235</v>
      </c>
      <c r="F211" s="24">
        <f>IF(E211&lt;=0.005,0,MIN(E211*(1+D211/12),IF(OR(Hipoteca!$C$8="Reducir cuota",D211&lt;&gt;D210),PMT(D211/12,K211,-E211),F210)))</f>
        <v>746.6003367545769</v>
      </c>
      <c r="G211" s="24">
        <f>E211*D211/12</f>
        <v>178.23514468708734</v>
      </c>
      <c r="H211" s="24">
        <f>IF(E211&lt;=0.005,0,MIN(E211,F211-G211))</f>
        <v>568.3651920674896</v>
      </c>
      <c r="I211" s="24">
        <f>MIN(E211-H211,SUMPRODUCT((YEAR(Hipoteca!$H$4:$H$15)=YEAR(C211))*(MONTH(Hipoteca!$H$4:$H$15)=MONTH(C211))*(Hipoteca!$H$4:$H$15&lt;&gt;"")*Hipoteca!$I$4:$I$15))</f>
        <v>0</v>
      </c>
      <c r="J211" s="24">
        <f>MAX(0,E211-H211-I211)</f>
        <v>73184.10847155486</v>
      </c>
      <c r="K211" s="21">
        <f>IF(E211&lt;=0.005,0,IF(Hipoteca!$C$8="Reducir cuota",$K$6-(B211-1),IFERROR(MAX(1,ROUNDUP(NPER(D210/12,-F210,E211),0)),$K$6-(B211-1))))</f>
        <v>114</v>
      </c>
      <c r="L211" s="21">
        <f>YEAR(C211)</f>
        <v>2043</v>
      </c>
      <c r="N211" s="25">
        <f>R210</f>
        <v>96688.16677391429</v>
      </c>
      <c r="O211" s="25">
        <f>IF(N211&lt;=0.005,0,IF(D211&lt;&gt;D210,PMT(D211/12,Hipoteca!$C$5*12-(B211-1),-N211),O210))</f>
        <v>748.6477272887904</v>
      </c>
      <c r="P211" s="25">
        <f>N211*D211/12</f>
        <v>233.6630697036262</v>
      </c>
      <c r="Q211" s="25">
        <f>IF(N211&lt;=0.005,0,MIN(N211,O211-P211))</f>
        <v>514.9846575851642</v>
      </c>
      <c r="R211" s="25">
        <f>MAX(0,N211-Q211)</f>
        <v>96173.18211632912</v>
      </c>
    </row>
    <row r="212" spans="2:18" ht="18" customHeight="1">
      <c r="B212" s="21">
        <f>ROW()-5</f>
        <v>207</v>
      </c>
      <c r="C212" s="22">
        <f>EDATE(Hipoteca!$C$7,B212-1)</f>
        <v>52597.0</v>
      </c>
      <c r="D212" s="23">
        <f>IFERROR(LOOKUP(2,1/((Hipoteca!$E$4:$E$9&lt;&gt;"")*(Hipoteca!$E$4:$E$9&lt;=C212)),Hipoteca!$F$4:$F$9),Hipoteca!$C$6)</f>
        <v>0.029</v>
      </c>
      <c r="E212" s="24">
        <f>J211</f>
        <v>73184.10847155486</v>
      </c>
      <c r="F212" s="24">
        <f>IF(E212&lt;=0.005,0,MIN(E212*(1+D212/12),IF(OR(Hipoteca!$C$8="Reducir cuota",D212&lt;&gt;D211),PMT(D212/12,K212,-E212),F211)))</f>
        <v>746.6003367545769</v>
      </c>
      <c r="G212" s="24">
        <f>E212*D212/12</f>
        <v>176.86159547292425</v>
      </c>
      <c r="H212" s="24">
        <f>IF(E212&lt;=0.005,0,MIN(E212,F212-G212))</f>
        <v>569.7387412816527</v>
      </c>
      <c r="I212" s="24">
        <f>MIN(E212-H212,SUMPRODUCT((YEAR(Hipoteca!$H$4:$H$15)=YEAR(C212))*(MONTH(Hipoteca!$H$4:$H$15)=MONTH(C212))*(Hipoteca!$H$4:$H$15&lt;&gt;"")*Hipoteca!$I$4:$I$15))</f>
        <v>0</v>
      </c>
      <c r="J212" s="24">
        <f>MAX(0,E212-H212-I212)</f>
        <v>72614.36973027322</v>
      </c>
      <c r="K212" s="21">
        <f>IF(E212&lt;=0.005,0,IF(Hipoteca!$C$8="Reducir cuota",$K$6-(B212-1),IFERROR(MAX(1,ROUNDUP(NPER(D211/12,-F211,E212),0)),$K$6-(B212-1))))</f>
        <v>113</v>
      </c>
      <c r="L212" s="21">
        <f>YEAR(C212)</f>
        <v>2044</v>
      </c>
      <c r="N212" s="25">
        <f>R211</f>
        <v>96173.18211632912</v>
      </c>
      <c r="O212" s="25">
        <f>IF(N212&lt;=0.005,0,IF(D212&lt;&gt;D211,PMT(D212/12,Hipoteca!$C$5*12-(B212-1),-N212),O211))</f>
        <v>748.6477272887904</v>
      </c>
      <c r="P212" s="25">
        <f>N212*D212/12</f>
        <v>232.41852344779537</v>
      </c>
      <c r="Q212" s="25">
        <f>IF(N212&lt;=0.005,0,MIN(N212,O212-P212))</f>
        <v>516.2292038409951</v>
      </c>
      <c r="R212" s="25">
        <f>MAX(0,N212-Q212)</f>
        <v>95656.95291248812</v>
      </c>
    </row>
    <row r="213" spans="2:18" ht="18" customHeight="1">
      <c r="B213" s="21">
        <f>ROW()-5</f>
        <v>208</v>
      </c>
      <c r="C213" s="22">
        <f>EDATE(Hipoteca!$C$7,B213-1)</f>
        <v>52628.0</v>
      </c>
      <c r="D213" s="23">
        <f>IFERROR(LOOKUP(2,1/((Hipoteca!$E$4:$E$9&lt;&gt;"")*(Hipoteca!$E$4:$E$9&lt;=C213)),Hipoteca!$F$4:$F$9),Hipoteca!$C$6)</f>
        <v>0.029</v>
      </c>
      <c r="E213" s="24">
        <f>J212</f>
        <v>72614.36973027322</v>
      </c>
      <c r="F213" s="24">
        <f>IF(E213&lt;=0.005,0,MIN(E213*(1+D213/12),IF(OR(Hipoteca!$C$8="Reducir cuota",D213&lt;&gt;D212),PMT(D213/12,K213,-E213),F212)))</f>
        <v>746.6003367545769</v>
      </c>
      <c r="G213" s="24">
        <f>E213*D213/12</f>
        <v>175.4847268481603</v>
      </c>
      <c r="H213" s="24">
        <f>IF(E213&lt;=0.005,0,MIN(E213,F213-G213))</f>
        <v>571.1156099064166</v>
      </c>
      <c r="I213" s="24">
        <f>MIN(E213-H213,SUMPRODUCT((YEAR(Hipoteca!$H$4:$H$15)=YEAR(C213))*(MONTH(Hipoteca!$H$4:$H$15)=MONTH(C213))*(Hipoteca!$H$4:$H$15&lt;&gt;"")*Hipoteca!$I$4:$I$15))</f>
        <v>0</v>
      </c>
      <c r="J213" s="24">
        <f>MAX(0,E213-H213-I213)</f>
        <v>72043.25412036681</v>
      </c>
      <c r="K213" s="21">
        <f>IF(E213&lt;=0.005,0,IF(Hipoteca!$C$8="Reducir cuota",$K$6-(B213-1),IFERROR(MAX(1,ROUNDUP(NPER(D212/12,-F212,E213),0)),$K$6-(B213-1))))</f>
        <v>112</v>
      </c>
      <c r="L213" s="21">
        <f>YEAR(C213)</f>
        <v>2044</v>
      </c>
      <c r="N213" s="25">
        <f>R212</f>
        <v>95656.95291248812</v>
      </c>
      <c r="O213" s="25">
        <f>IF(N213&lt;=0.005,0,IF(D213&lt;&gt;D212,PMT(D213/12,Hipoteca!$C$5*12-(B213-1),-N213),O212))</f>
        <v>748.6477272887904</v>
      </c>
      <c r="P213" s="25">
        <f>N213*D213/12</f>
        <v>231.17096953851296</v>
      </c>
      <c r="Q213" s="25">
        <f>IF(N213&lt;=0.005,0,MIN(N213,O213-P213))</f>
        <v>517.4767577502774</v>
      </c>
      <c r="R213" s="25">
        <f>MAX(0,N213-Q213)</f>
        <v>95139.47615473784</v>
      </c>
    </row>
    <row r="214" spans="2:18" ht="18" customHeight="1">
      <c r="B214" s="21">
        <f>ROW()-5</f>
        <v>209</v>
      </c>
      <c r="C214" s="22">
        <f>EDATE(Hipoteca!$C$7,B214-1)</f>
        <v>52657.0</v>
      </c>
      <c r="D214" s="23">
        <f>IFERROR(LOOKUP(2,1/((Hipoteca!$E$4:$E$9&lt;&gt;"")*(Hipoteca!$E$4:$E$9&lt;=C214)),Hipoteca!$F$4:$F$9),Hipoteca!$C$6)</f>
        <v>0.029</v>
      </c>
      <c r="E214" s="24">
        <f>J213</f>
        <v>72043.25412036681</v>
      </c>
      <c r="F214" s="24">
        <f>IF(E214&lt;=0.005,0,MIN(E214*(1+D214/12),IF(OR(Hipoteca!$C$8="Reducir cuota",D214&lt;&gt;D213),PMT(D214/12,K214,-E214),F213)))</f>
        <v>746.6003367545769</v>
      </c>
      <c r="G214" s="24">
        <f>E214*D214/12</f>
        <v>174.10453079088646</v>
      </c>
      <c r="H214" s="24">
        <f>IF(E214&lt;=0.005,0,MIN(E214,F214-G214))</f>
        <v>572.4958059636905</v>
      </c>
      <c r="I214" s="24">
        <f>MIN(E214-H214,SUMPRODUCT((YEAR(Hipoteca!$H$4:$H$15)=YEAR(C214))*(MONTH(Hipoteca!$H$4:$H$15)=MONTH(C214))*(Hipoteca!$H$4:$H$15&lt;&gt;"")*Hipoteca!$I$4:$I$15))</f>
        <v>0</v>
      </c>
      <c r="J214" s="24">
        <f>MAX(0,E214-H214-I214)</f>
        <v>71470.75831440312</v>
      </c>
      <c r="K214" s="21">
        <f>IF(E214&lt;=0.005,0,IF(Hipoteca!$C$8="Reducir cuota",$K$6-(B214-1),IFERROR(MAX(1,ROUNDUP(NPER(D213/12,-F213,E214),0)),$K$6-(B214-1))))</f>
        <v>111</v>
      </c>
      <c r="L214" s="21">
        <f>YEAR(C214)</f>
        <v>2044</v>
      </c>
      <c r="N214" s="25">
        <f>R213</f>
        <v>95139.47615473784</v>
      </c>
      <c r="O214" s="25">
        <f>IF(N214&lt;=0.005,0,IF(D214&lt;&gt;D213,PMT(D214/12,Hipoteca!$C$5*12-(B214-1),-N214),O213))</f>
        <v>748.6477272887904</v>
      </c>
      <c r="P214" s="25">
        <f>N214*D214/12</f>
        <v>229.9204007072831</v>
      </c>
      <c r="Q214" s="25">
        <f>IF(N214&lt;=0.005,0,MIN(N214,O214-P214))</f>
        <v>518.7273265815073</v>
      </c>
      <c r="R214" s="25">
        <f>MAX(0,N214-Q214)</f>
        <v>94620.74882815634</v>
      </c>
    </row>
    <row r="215" spans="2:18" ht="18" customHeight="1">
      <c r="B215" s="21">
        <f>ROW()-5</f>
        <v>210</v>
      </c>
      <c r="C215" s="22">
        <f>EDATE(Hipoteca!$C$7,B215-1)</f>
        <v>52688.0</v>
      </c>
      <c r="D215" s="23">
        <f>IFERROR(LOOKUP(2,1/((Hipoteca!$E$4:$E$9&lt;&gt;"")*(Hipoteca!$E$4:$E$9&lt;=C215)),Hipoteca!$F$4:$F$9),Hipoteca!$C$6)</f>
        <v>0.029</v>
      </c>
      <c r="E215" s="24">
        <f>J214</f>
        <v>71470.75831440312</v>
      </c>
      <c r="F215" s="24">
        <f>IF(E215&lt;=0.005,0,MIN(E215*(1+D215/12),IF(OR(Hipoteca!$C$8="Reducir cuota",D215&lt;&gt;D214),PMT(D215/12,K215,-E215),F214)))</f>
        <v>746.6003367545769</v>
      </c>
      <c r="G215" s="24">
        <f>E215*D215/12</f>
        <v>172.72099925980754</v>
      </c>
      <c r="H215" s="24">
        <f>IF(E215&lt;=0.005,0,MIN(E215,F215-G215))</f>
        <v>573.8793374947694</v>
      </c>
      <c r="I215" s="24">
        <f>MIN(E215-H215,SUMPRODUCT((YEAR(Hipoteca!$H$4:$H$15)=YEAR(C215))*(MONTH(Hipoteca!$H$4:$H$15)=MONTH(C215))*(Hipoteca!$H$4:$H$15&lt;&gt;"")*Hipoteca!$I$4:$I$15))</f>
        <v>0</v>
      </c>
      <c r="J215" s="24">
        <f>MAX(0,E215-H215-I215)</f>
        <v>70896.87897690835</v>
      </c>
      <c r="K215" s="21">
        <f>IF(E215&lt;=0.005,0,IF(Hipoteca!$C$8="Reducir cuota",$K$6-(B215-1),IFERROR(MAX(1,ROUNDUP(NPER(D214/12,-F214,E215),0)),$K$6-(B215-1))))</f>
        <v>110</v>
      </c>
      <c r="L215" s="21">
        <f>YEAR(C215)</f>
        <v>2044</v>
      </c>
      <c r="N215" s="25">
        <f>R214</f>
        <v>94620.74882815634</v>
      </c>
      <c r="O215" s="25">
        <f>IF(N215&lt;=0.005,0,IF(D215&lt;&gt;D214,PMT(D215/12,Hipoteca!$C$5*12-(B215-1),-N215),O214))</f>
        <v>748.6477272887904</v>
      </c>
      <c r="P215" s="25">
        <f>N215*D215/12</f>
        <v>228.6668096680445</v>
      </c>
      <c r="Q215" s="25">
        <f>IF(N215&lt;=0.005,0,MIN(N215,O215-P215))</f>
        <v>519.9809176207459</v>
      </c>
      <c r="R215" s="25">
        <f>MAX(0,N215-Q215)</f>
        <v>94100.7679105356</v>
      </c>
    </row>
    <row r="216" spans="2:18" ht="18" customHeight="1">
      <c r="B216" s="21">
        <f>ROW()-5</f>
        <v>211</v>
      </c>
      <c r="C216" s="22">
        <f>EDATE(Hipoteca!$C$7,B216-1)</f>
        <v>52718.0</v>
      </c>
      <c r="D216" s="23">
        <f>IFERROR(LOOKUP(2,1/((Hipoteca!$E$4:$E$9&lt;&gt;"")*(Hipoteca!$E$4:$E$9&lt;=C216)),Hipoteca!$F$4:$F$9),Hipoteca!$C$6)</f>
        <v>0.029</v>
      </c>
      <c r="E216" s="24">
        <f>J215</f>
        <v>70896.87897690835</v>
      </c>
      <c r="F216" s="24">
        <f>IF(E216&lt;=0.005,0,MIN(E216*(1+D216/12),IF(OR(Hipoteca!$C$8="Reducir cuota",D216&lt;&gt;D215),PMT(D216/12,K216,-E216),F215)))</f>
        <v>746.6003367545769</v>
      </c>
      <c r="G216" s="24">
        <f>E216*D216/12</f>
        <v>171.3341241941952</v>
      </c>
      <c r="H216" s="24">
        <f>IF(E216&lt;=0.005,0,MIN(E216,F216-G216))</f>
        <v>575.2662125603817</v>
      </c>
      <c r="I216" s="24">
        <f>MIN(E216-H216,SUMPRODUCT((YEAR(Hipoteca!$H$4:$H$15)=YEAR(C216))*(MONTH(Hipoteca!$H$4:$H$15)=MONTH(C216))*(Hipoteca!$H$4:$H$15&lt;&gt;"")*Hipoteca!$I$4:$I$15))</f>
        <v>0</v>
      </c>
      <c r="J216" s="24">
        <f>MAX(0,E216-H216-I216)</f>
        <v>70321.61276434797</v>
      </c>
      <c r="K216" s="21">
        <f>IF(E216&lt;=0.005,0,IF(Hipoteca!$C$8="Reducir cuota",$K$6-(B216-1),IFERROR(MAX(1,ROUNDUP(NPER(D215/12,-F215,E216),0)),$K$6-(B216-1))))</f>
        <v>109</v>
      </c>
      <c r="L216" s="21">
        <f>YEAR(C216)</f>
        <v>2044</v>
      </c>
      <c r="N216" s="25">
        <f>R215</f>
        <v>94100.7679105356</v>
      </c>
      <c r="O216" s="25">
        <f>IF(N216&lt;=0.005,0,IF(D216&lt;&gt;D215,PMT(D216/12,Hipoteca!$C$5*12-(B216-1),-N216),O215))</f>
        <v>748.6477272887904</v>
      </c>
      <c r="P216" s="25">
        <f>N216*D216/12</f>
        <v>227.41018911712771</v>
      </c>
      <c r="Q216" s="25">
        <f>IF(N216&lt;=0.005,0,MIN(N216,O216-P216))</f>
        <v>521.2375381716627</v>
      </c>
      <c r="R216" s="25">
        <f>MAX(0,N216-Q216)</f>
        <v>93579.53037236394</v>
      </c>
    </row>
    <row r="217" spans="2:18" ht="18" customHeight="1">
      <c r="B217" s="21">
        <f>ROW()-5</f>
        <v>212</v>
      </c>
      <c r="C217" s="22">
        <f>EDATE(Hipoteca!$C$7,B217-1)</f>
        <v>52749.0</v>
      </c>
      <c r="D217" s="23">
        <f>IFERROR(LOOKUP(2,1/((Hipoteca!$E$4:$E$9&lt;&gt;"")*(Hipoteca!$E$4:$E$9&lt;=C217)),Hipoteca!$F$4:$F$9),Hipoteca!$C$6)</f>
        <v>0.029</v>
      </c>
      <c r="E217" s="24">
        <f>J216</f>
        <v>70321.61276434797</v>
      </c>
      <c r="F217" s="24">
        <f>IF(E217&lt;=0.005,0,MIN(E217*(1+D217/12),IF(OR(Hipoteca!$C$8="Reducir cuota",D217&lt;&gt;D216),PMT(D217/12,K217,-E217),F216)))</f>
        <v>746.6003367545769</v>
      </c>
      <c r="G217" s="24">
        <f>E217*D217/12</f>
        <v>169.94389751384094</v>
      </c>
      <c r="H217" s="24">
        <f>IF(E217&lt;=0.005,0,MIN(E217,F217-G217))</f>
        <v>576.656439240736</v>
      </c>
      <c r="I217" s="24">
        <f>MIN(E217-H217,SUMPRODUCT((YEAR(Hipoteca!$H$4:$H$15)=YEAR(C217))*(MONTH(Hipoteca!$H$4:$H$15)=MONTH(C217))*(Hipoteca!$H$4:$H$15&lt;&gt;"")*Hipoteca!$I$4:$I$15))</f>
        <v>0</v>
      </c>
      <c r="J217" s="24">
        <f>MAX(0,E217-H217-I217)</f>
        <v>69744.95632510724</v>
      </c>
      <c r="K217" s="21">
        <f>IF(E217&lt;=0.005,0,IF(Hipoteca!$C$8="Reducir cuota",$K$6-(B217-1),IFERROR(MAX(1,ROUNDUP(NPER(D216/12,-F216,E217),0)),$K$6-(B217-1))))</f>
        <v>108</v>
      </c>
      <c r="L217" s="21">
        <f>YEAR(C217)</f>
        <v>2044</v>
      </c>
      <c r="N217" s="25">
        <f>R216</f>
        <v>93579.53037236394</v>
      </c>
      <c r="O217" s="25">
        <f>IF(N217&lt;=0.005,0,IF(D217&lt;&gt;D216,PMT(D217/12,Hipoteca!$C$5*12-(B217-1),-N217),O216))</f>
        <v>748.6477272887904</v>
      </c>
      <c r="P217" s="25">
        <f>N217*D217/12</f>
        <v>226.1505317332129</v>
      </c>
      <c r="Q217" s="25">
        <f>IF(N217&lt;=0.005,0,MIN(N217,O217-P217))</f>
        <v>522.4971955555775</v>
      </c>
      <c r="R217" s="25">
        <f>MAX(0,N217-Q217)</f>
        <v>93057.03317680836</v>
      </c>
    </row>
    <row r="218" spans="2:18" ht="18" customHeight="1">
      <c r="B218" s="21">
        <f>ROW()-5</f>
        <v>213</v>
      </c>
      <c r="C218" s="22">
        <f>EDATE(Hipoteca!$C$7,B218-1)</f>
        <v>52779.0</v>
      </c>
      <c r="D218" s="23">
        <f>IFERROR(LOOKUP(2,1/((Hipoteca!$E$4:$E$9&lt;&gt;"")*(Hipoteca!$E$4:$E$9&lt;=C218)),Hipoteca!$F$4:$F$9),Hipoteca!$C$6)</f>
        <v>0.029</v>
      </c>
      <c r="E218" s="24">
        <f>J217</f>
        <v>69744.95632510724</v>
      </c>
      <c r="F218" s="24">
        <f>IF(E218&lt;=0.005,0,MIN(E218*(1+D218/12),IF(OR(Hipoteca!$C$8="Reducir cuota",D218&lt;&gt;D217),PMT(D218/12,K218,-E218),F217)))</f>
        <v>746.6003367545769</v>
      </c>
      <c r="G218" s="24">
        <f>E218*D218/12</f>
        <v>168.55031111900917</v>
      </c>
      <c r="H218" s="24">
        <f>IF(E218&lt;=0.005,0,MIN(E218,F218-G218))</f>
        <v>578.0500256355677</v>
      </c>
      <c r="I218" s="24">
        <f>MIN(E218-H218,SUMPRODUCT((YEAR(Hipoteca!$H$4:$H$15)=YEAR(C218))*(MONTH(Hipoteca!$H$4:$H$15)=MONTH(C218))*(Hipoteca!$H$4:$H$15&lt;&gt;"")*Hipoteca!$I$4:$I$15))</f>
        <v>0</v>
      </c>
      <c r="J218" s="24">
        <f>MAX(0,E218-H218-I218)</f>
        <v>69166.90629947167</v>
      </c>
      <c r="K218" s="21">
        <f>IF(E218&lt;=0.005,0,IF(Hipoteca!$C$8="Reducir cuota",$K$6-(B218-1),IFERROR(MAX(1,ROUNDUP(NPER(D217/12,-F217,E218),0)),$K$6-(B218-1))))</f>
        <v>107</v>
      </c>
      <c r="L218" s="21">
        <f>YEAR(C218)</f>
        <v>2044</v>
      </c>
      <c r="N218" s="25">
        <f>R217</f>
        <v>93057.03317680836</v>
      </c>
      <c r="O218" s="25">
        <f>IF(N218&lt;=0.005,0,IF(D218&lt;&gt;D217,PMT(D218/12,Hipoteca!$C$5*12-(B218-1),-N218),O217))</f>
        <v>748.6477272887904</v>
      </c>
      <c r="P218" s="25">
        <f>N218*D218/12</f>
        <v>224.88783017728687</v>
      </c>
      <c r="Q218" s="25">
        <f>IF(N218&lt;=0.005,0,MIN(N218,O218-P218))</f>
        <v>523.7598971115035</v>
      </c>
      <c r="R218" s="25">
        <f>MAX(0,N218-Q218)</f>
        <v>92533.27327969685</v>
      </c>
    </row>
    <row r="219" spans="2:18" ht="18" customHeight="1">
      <c r="B219" s="21">
        <f>ROW()-5</f>
        <v>214</v>
      </c>
      <c r="C219" s="22">
        <f>EDATE(Hipoteca!$C$7,B219-1)</f>
        <v>52810.0</v>
      </c>
      <c r="D219" s="23">
        <f>IFERROR(LOOKUP(2,1/((Hipoteca!$E$4:$E$9&lt;&gt;"")*(Hipoteca!$E$4:$E$9&lt;=C219)),Hipoteca!$F$4:$F$9),Hipoteca!$C$6)</f>
        <v>0.029</v>
      </c>
      <c r="E219" s="24">
        <f>J218</f>
        <v>69166.90629947167</v>
      </c>
      <c r="F219" s="24">
        <f>IF(E219&lt;=0.005,0,MIN(E219*(1+D219/12),IF(OR(Hipoteca!$C$8="Reducir cuota",D219&lt;&gt;D218),PMT(D219/12,K219,-E219),F218)))</f>
        <v>746.6003367545769</v>
      </c>
      <c r="G219" s="24">
        <f>E219*D219/12</f>
        <v>167.15335689038986</v>
      </c>
      <c r="H219" s="24">
        <f>IF(E219&lt;=0.005,0,MIN(E219,F219-G219))</f>
        <v>579.446979864187</v>
      </c>
      <c r="I219" s="24">
        <f>MIN(E219-H219,SUMPRODUCT((YEAR(Hipoteca!$H$4:$H$15)=YEAR(C219))*(MONTH(Hipoteca!$H$4:$H$15)=MONTH(C219))*(Hipoteca!$H$4:$H$15&lt;&gt;"")*Hipoteca!$I$4:$I$15))</f>
        <v>0</v>
      </c>
      <c r="J219" s="24">
        <f>MAX(0,E219-H219-I219)</f>
        <v>68587.45931960749</v>
      </c>
      <c r="K219" s="21">
        <f>IF(E219&lt;=0.005,0,IF(Hipoteca!$C$8="Reducir cuota",$K$6-(B219-1),IFERROR(MAX(1,ROUNDUP(NPER(D218/12,-F218,E219),0)),$K$6-(B219-1))))</f>
        <v>106</v>
      </c>
      <c r="L219" s="21">
        <f>YEAR(C219)</f>
        <v>2044</v>
      </c>
      <c r="N219" s="25">
        <f>R218</f>
        <v>92533.27327969685</v>
      </c>
      <c r="O219" s="25">
        <f>IF(N219&lt;=0.005,0,IF(D219&lt;&gt;D218,PMT(D219/12,Hipoteca!$C$5*12-(B219-1),-N219),O218))</f>
        <v>748.6477272887904</v>
      </c>
      <c r="P219" s="25">
        <f>N219*D219/12</f>
        <v>223.62207709260073</v>
      </c>
      <c r="Q219" s="25">
        <f>IF(N219&lt;=0.005,0,MIN(N219,O219-P219))</f>
        <v>525.0256501961896</v>
      </c>
      <c r="R219" s="25">
        <f>MAX(0,N219-Q219)</f>
        <v>92008.24762950066</v>
      </c>
    </row>
    <row r="220" spans="2:18" ht="18" customHeight="1">
      <c r="B220" s="21">
        <f>ROW()-5</f>
        <v>215</v>
      </c>
      <c r="C220" s="22">
        <f>EDATE(Hipoteca!$C$7,B220-1)</f>
        <v>52841.0</v>
      </c>
      <c r="D220" s="23">
        <f>IFERROR(LOOKUP(2,1/((Hipoteca!$E$4:$E$9&lt;&gt;"")*(Hipoteca!$E$4:$E$9&lt;=C220)),Hipoteca!$F$4:$F$9),Hipoteca!$C$6)</f>
        <v>0.029</v>
      </c>
      <c r="E220" s="24">
        <f>J219</f>
        <v>68587.45931960749</v>
      </c>
      <c r="F220" s="24">
        <f>IF(E220&lt;=0.005,0,MIN(E220*(1+D220/12),IF(OR(Hipoteca!$C$8="Reducir cuota",D220&lt;&gt;D219),PMT(D220/12,K220,-E220),F219)))</f>
        <v>746.6003367545769</v>
      </c>
      <c r="G220" s="24">
        <f>E220*D220/12</f>
        <v>165.75302668905144</v>
      </c>
      <c r="H220" s="24">
        <f>IF(E220&lt;=0.005,0,MIN(E220,F220-G220))</f>
        <v>580.8473100655254</v>
      </c>
      <c r="I220" s="24">
        <f>MIN(E220-H220,SUMPRODUCT((YEAR(Hipoteca!$H$4:$H$15)=YEAR(C220))*(MONTH(Hipoteca!$H$4:$H$15)=MONTH(C220))*(Hipoteca!$H$4:$H$15&lt;&gt;"")*Hipoteca!$I$4:$I$15))</f>
        <v>0</v>
      </c>
      <c r="J220" s="24">
        <f>MAX(0,E220-H220-I220)</f>
        <v>68006.61200954196</v>
      </c>
      <c r="K220" s="21">
        <f>IF(E220&lt;=0.005,0,IF(Hipoteca!$C$8="Reducir cuota",$K$6-(B220-1),IFERROR(MAX(1,ROUNDUP(NPER(D219/12,-F219,E220),0)),$K$6-(B220-1))))</f>
        <v>105</v>
      </c>
      <c r="L220" s="21">
        <f>YEAR(C220)</f>
        <v>2044</v>
      </c>
      <c r="N220" s="25">
        <f>R219</f>
        <v>92008.24762950066</v>
      </c>
      <c r="O220" s="25">
        <f>IF(N220&lt;=0.005,0,IF(D220&lt;&gt;D219,PMT(D220/12,Hipoteca!$C$5*12-(B220-1),-N220),O219))</f>
        <v>748.6477272887904</v>
      </c>
      <c r="P220" s="25">
        <f>N220*D220/12</f>
        <v>222.35326510462662</v>
      </c>
      <c r="Q220" s="25">
        <f>IF(N220&lt;=0.005,0,MIN(N220,O220-P220))</f>
        <v>526.2944621841638</v>
      </c>
      <c r="R220" s="25">
        <f>MAX(0,N220-Q220)</f>
        <v>91481.9531673165</v>
      </c>
    </row>
    <row r="221" spans="2:18" ht="18" customHeight="1">
      <c r="B221" s="21">
        <f>ROW()-5</f>
        <v>216</v>
      </c>
      <c r="C221" s="22">
        <f>EDATE(Hipoteca!$C$7,B221-1)</f>
        <v>52871.0</v>
      </c>
      <c r="D221" s="23">
        <f>IFERROR(LOOKUP(2,1/((Hipoteca!$E$4:$E$9&lt;&gt;"")*(Hipoteca!$E$4:$E$9&lt;=C221)),Hipoteca!$F$4:$F$9),Hipoteca!$C$6)</f>
        <v>0.029</v>
      </c>
      <c r="E221" s="24">
        <f>J220</f>
        <v>68006.61200954196</v>
      </c>
      <c r="F221" s="24">
        <f>IF(E221&lt;=0.005,0,MIN(E221*(1+D221/12),IF(OR(Hipoteca!$C$8="Reducir cuota",D221&lt;&gt;D220),PMT(D221/12,K221,-E221),F220)))</f>
        <v>746.6003367545769</v>
      </c>
      <c r="G221" s="24">
        <f>E221*D221/12</f>
        <v>164.34931235639309</v>
      </c>
      <c r="H221" s="24">
        <f>IF(E221&lt;=0.005,0,MIN(E221,F221-G221))</f>
        <v>582.2510243981839</v>
      </c>
      <c r="I221" s="24">
        <f>MIN(E221-H221,SUMPRODUCT((YEAR(Hipoteca!$H$4:$H$15)=YEAR(C221))*(MONTH(Hipoteca!$H$4:$H$15)=MONTH(C221))*(Hipoteca!$H$4:$H$15&lt;&gt;"")*Hipoteca!$I$4:$I$15))</f>
        <v>0</v>
      </c>
      <c r="J221" s="24">
        <f>MAX(0,E221-H221-I221)</f>
        <v>67424.36098514378</v>
      </c>
      <c r="K221" s="21">
        <f>IF(E221&lt;=0.005,0,IF(Hipoteca!$C$8="Reducir cuota",$K$6-(B221-1),IFERROR(MAX(1,ROUNDUP(NPER(D220/12,-F220,E221),0)),$K$6-(B221-1))))</f>
        <v>104</v>
      </c>
      <c r="L221" s="21">
        <f>YEAR(C221)</f>
        <v>2044</v>
      </c>
      <c r="N221" s="25">
        <f>R220</f>
        <v>91481.9531673165</v>
      </c>
      <c r="O221" s="25">
        <f>IF(N221&lt;=0.005,0,IF(D221&lt;&gt;D220,PMT(D221/12,Hipoteca!$C$5*12-(B221-1),-N221),O220))</f>
        <v>748.6477272887904</v>
      </c>
      <c r="P221" s="25">
        <f>N221*D221/12</f>
        <v>221.0813868210149</v>
      </c>
      <c r="Q221" s="25">
        <f>IF(N221&lt;=0.005,0,MIN(N221,O221-P221))</f>
        <v>527.5663404677755</v>
      </c>
      <c r="R221" s="25">
        <f>MAX(0,N221-Q221)</f>
        <v>90954.38682684873</v>
      </c>
    </row>
    <row r="222" spans="2:18" ht="18" customHeight="1">
      <c r="B222" s="21">
        <f>ROW()-5</f>
        <v>217</v>
      </c>
      <c r="C222" s="22">
        <f>EDATE(Hipoteca!$C$7,B222-1)</f>
        <v>52902.0</v>
      </c>
      <c r="D222" s="23">
        <f>IFERROR(LOOKUP(2,1/((Hipoteca!$E$4:$E$9&lt;&gt;"")*(Hipoteca!$E$4:$E$9&lt;=C222)),Hipoteca!$F$4:$F$9),Hipoteca!$C$6)</f>
        <v>0.029</v>
      </c>
      <c r="E222" s="24">
        <f>J221</f>
        <v>67424.36098514378</v>
      </c>
      <c r="F222" s="24">
        <f>IF(E222&lt;=0.005,0,MIN(E222*(1+D222/12),IF(OR(Hipoteca!$C$8="Reducir cuota",D222&lt;&gt;D221),PMT(D222/12,K222,-E222),F221)))</f>
        <v>746.6003367545769</v>
      </c>
      <c r="G222" s="24">
        <f>E222*D222/12</f>
        <v>162.94220571409747</v>
      </c>
      <c r="H222" s="24">
        <f>IF(E222&lt;=0.005,0,MIN(E222,F222-G222))</f>
        <v>583.6581310404795</v>
      </c>
      <c r="I222" s="24">
        <f>MIN(E222-H222,SUMPRODUCT((YEAR(Hipoteca!$H$4:$H$15)=YEAR(C222))*(MONTH(Hipoteca!$H$4:$H$15)=MONTH(C222))*(Hipoteca!$H$4:$H$15&lt;&gt;"")*Hipoteca!$I$4:$I$15))</f>
        <v>0</v>
      </c>
      <c r="J222" s="24">
        <f>MAX(0,E222-H222-I222)</f>
        <v>66840.7028541033</v>
      </c>
      <c r="K222" s="21">
        <f>IF(E222&lt;=0.005,0,IF(Hipoteca!$C$8="Reducir cuota",$K$6-(B222-1),IFERROR(MAX(1,ROUNDUP(NPER(D221/12,-F221,E222),0)),$K$6-(B222-1))))</f>
        <v>103</v>
      </c>
      <c r="L222" s="21">
        <f>YEAR(C222)</f>
        <v>2044</v>
      </c>
      <c r="N222" s="25">
        <f>R221</f>
        <v>90954.38682684873</v>
      </c>
      <c r="O222" s="25">
        <f>IF(N222&lt;=0.005,0,IF(D222&lt;&gt;D221,PMT(D222/12,Hipoteca!$C$5*12-(B222-1),-N222),O221))</f>
        <v>748.6477272887904</v>
      </c>
      <c r="P222" s="25">
        <f>N222*D222/12</f>
        <v>219.8064348315511</v>
      </c>
      <c r="Q222" s="25">
        <f>IF(N222&lt;=0.005,0,MIN(N222,O222-P222))</f>
        <v>528.8412924572393</v>
      </c>
      <c r="R222" s="25">
        <f>MAX(0,N222-Q222)</f>
        <v>90425.5455343915</v>
      </c>
    </row>
    <row r="223" spans="2:18" ht="18" customHeight="1">
      <c r="B223" s="21">
        <f>ROW()-5</f>
        <v>218</v>
      </c>
      <c r="C223" s="22">
        <f>EDATE(Hipoteca!$C$7,B223-1)</f>
        <v>52932.0</v>
      </c>
      <c r="D223" s="23">
        <f>IFERROR(LOOKUP(2,1/((Hipoteca!$E$4:$E$9&lt;&gt;"")*(Hipoteca!$E$4:$E$9&lt;=C223)),Hipoteca!$F$4:$F$9),Hipoteca!$C$6)</f>
        <v>0.029</v>
      </c>
      <c r="E223" s="24">
        <f>J222</f>
        <v>66840.7028541033</v>
      </c>
      <c r="F223" s="24">
        <f>IF(E223&lt;=0.005,0,MIN(E223*(1+D223/12),IF(OR(Hipoteca!$C$8="Reducir cuota",D223&lt;&gt;D222),PMT(D223/12,K223,-E223),F222)))</f>
        <v>746.6003367545769</v>
      </c>
      <c r="G223" s="24">
        <f>E223*D223/12</f>
        <v>161.531698564083</v>
      </c>
      <c r="H223" s="24">
        <f>IF(E223&lt;=0.005,0,MIN(E223,F223-G223))</f>
        <v>585.0686381904939</v>
      </c>
      <c r="I223" s="24">
        <f>MIN(E223-H223,SUMPRODUCT((YEAR(Hipoteca!$H$4:$H$15)=YEAR(C223))*(MONTH(Hipoteca!$H$4:$H$15)=MONTH(C223))*(Hipoteca!$H$4:$H$15&lt;&gt;"")*Hipoteca!$I$4:$I$15))</f>
        <v>0</v>
      </c>
      <c r="J223" s="24">
        <f>MAX(0,E223-H223-I223)</f>
        <v>66255.63421591281</v>
      </c>
      <c r="K223" s="21">
        <f>IF(E223&lt;=0.005,0,IF(Hipoteca!$C$8="Reducir cuota",$K$6-(B223-1),IFERROR(MAX(1,ROUNDUP(NPER(D222/12,-F222,E223),0)),$K$6-(B223-1))))</f>
        <v>102</v>
      </c>
      <c r="L223" s="21">
        <f>YEAR(C223)</f>
        <v>2044</v>
      </c>
      <c r="N223" s="25">
        <f>R222</f>
        <v>90425.5455343915</v>
      </c>
      <c r="O223" s="25">
        <f>IF(N223&lt;=0.005,0,IF(D223&lt;&gt;D222,PMT(D223/12,Hipoteca!$C$5*12-(B223-1),-N223),O222))</f>
        <v>748.6477272887904</v>
      </c>
      <c r="P223" s="25">
        <f>N223*D223/12</f>
        <v>218.5284017081128</v>
      </c>
      <c r="Q223" s="25">
        <f>IF(N223&lt;=0.005,0,MIN(N223,O223-P223))</f>
        <v>530.1193255806776</v>
      </c>
      <c r="R223" s="25">
        <f>MAX(0,N223-Q223)</f>
        <v>89895.42620881082</v>
      </c>
    </row>
    <row r="224" spans="2:18" ht="18" customHeight="1">
      <c r="B224" s="21">
        <f>ROW()-5</f>
        <v>219</v>
      </c>
      <c r="C224" s="22">
        <f>EDATE(Hipoteca!$C$7,B224-1)</f>
        <v>52963.0</v>
      </c>
      <c r="D224" s="23">
        <f>IFERROR(LOOKUP(2,1/((Hipoteca!$E$4:$E$9&lt;&gt;"")*(Hipoteca!$E$4:$E$9&lt;=C224)),Hipoteca!$F$4:$F$9),Hipoteca!$C$6)</f>
        <v>0.029</v>
      </c>
      <c r="E224" s="24">
        <f>J223</f>
        <v>66255.63421591281</v>
      </c>
      <c r="F224" s="24">
        <f>IF(E224&lt;=0.005,0,MIN(E224*(1+D224/12),IF(OR(Hipoteca!$C$8="Reducir cuota",D224&lt;&gt;D223),PMT(D224/12,K224,-E224),F223)))</f>
        <v>746.6003367545769</v>
      </c>
      <c r="G224" s="24">
        <f>E224*D224/12</f>
        <v>160.11778268845597</v>
      </c>
      <c r="H224" s="24">
        <f>IF(E224&lt;=0.005,0,MIN(E224,F224-G224))</f>
        <v>586.4825540661209</v>
      </c>
      <c r="I224" s="24">
        <f>MIN(E224-H224,SUMPRODUCT((YEAR(Hipoteca!$H$4:$H$15)=YEAR(C224))*(MONTH(Hipoteca!$H$4:$H$15)=MONTH(C224))*(Hipoteca!$H$4:$H$15&lt;&gt;"")*Hipoteca!$I$4:$I$15))</f>
        <v>0</v>
      </c>
      <c r="J224" s="24">
        <f>MAX(0,E224-H224-I224)</f>
        <v>65669.15166184668</v>
      </c>
      <c r="K224" s="21">
        <f>IF(E224&lt;=0.005,0,IF(Hipoteca!$C$8="Reducir cuota",$K$6-(B224-1),IFERROR(MAX(1,ROUNDUP(NPER(D223/12,-F223,E224),0)),$K$6-(B224-1))))</f>
        <v>101</v>
      </c>
      <c r="L224" s="21">
        <f>YEAR(C224)</f>
        <v>2045</v>
      </c>
      <c r="N224" s="25">
        <f>R223</f>
        <v>89895.42620881082</v>
      </c>
      <c r="O224" s="25">
        <f>IF(N224&lt;=0.005,0,IF(D224&lt;&gt;D223,PMT(D224/12,Hipoteca!$C$5*12-(B224-1),-N224),O223))</f>
        <v>748.6477272887904</v>
      </c>
      <c r="P224" s="25">
        <f>N224*D224/12</f>
        <v>217.24728000462616</v>
      </c>
      <c r="Q224" s="25">
        <f>IF(N224&lt;=0.005,0,MIN(N224,O224-P224))</f>
        <v>531.4004472841642</v>
      </c>
      <c r="R224" s="25">
        <f>MAX(0,N224-Q224)</f>
        <v>89364.02576152666</v>
      </c>
    </row>
    <row r="225" spans="2:18" ht="18" customHeight="1">
      <c r="B225" s="21">
        <f>ROW()-5</f>
        <v>220</v>
      </c>
      <c r="C225" s="22">
        <f>EDATE(Hipoteca!$C$7,B225-1)</f>
        <v>52994.0</v>
      </c>
      <c r="D225" s="23">
        <f>IFERROR(LOOKUP(2,1/((Hipoteca!$E$4:$E$9&lt;&gt;"")*(Hipoteca!$E$4:$E$9&lt;=C225)),Hipoteca!$F$4:$F$9),Hipoteca!$C$6)</f>
        <v>0.029</v>
      </c>
      <c r="E225" s="24">
        <f>J224</f>
        <v>65669.15166184668</v>
      </c>
      <c r="F225" s="24">
        <f>IF(E225&lt;=0.005,0,MIN(E225*(1+D225/12),IF(OR(Hipoteca!$C$8="Reducir cuota",D225&lt;&gt;D224),PMT(D225/12,K225,-E225),F224)))</f>
        <v>746.6003367545769</v>
      </c>
      <c r="G225" s="24">
        <f>E225*D225/12</f>
        <v>158.70044984946284</v>
      </c>
      <c r="H225" s="24">
        <f>IF(E225&lt;=0.005,0,MIN(E225,F225-G225))</f>
        <v>587.899886905114</v>
      </c>
      <c r="I225" s="24">
        <f>MIN(E225-H225,SUMPRODUCT((YEAR(Hipoteca!$H$4:$H$15)=YEAR(C225))*(MONTH(Hipoteca!$H$4:$H$15)=MONTH(C225))*(Hipoteca!$H$4:$H$15&lt;&gt;"")*Hipoteca!$I$4:$I$15))</f>
        <v>0</v>
      </c>
      <c r="J225" s="24">
        <f>MAX(0,E225-H225-I225)</f>
        <v>65081.25177494157</v>
      </c>
      <c r="K225" s="21">
        <f>IF(E225&lt;=0.005,0,IF(Hipoteca!$C$8="Reducir cuota",$K$6-(B225-1),IFERROR(MAX(1,ROUNDUP(NPER(D224/12,-F224,E225),0)),$K$6-(B225-1))))</f>
        <v>100</v>
      </c>
      <c r="L225" s="21">
        <f>YEAR(C225)</f>
        <v>2045</v>
      </c>
      <c r="N225" s="25">
        <f>R224</f>
        <v>89364.02576152666</v>
      </c>
      <c r="O225" s="25">
        <f>IF(N225&lt;=0.005,0,IF(D225&lt;&gt;D224,PMT(D225/12,Hipoteca!$C$5*12-(B225-1),-N225),O224))</f>
        <v>748.6477272887904</v>
      </c>
      <c r="P225" s="25">
        <f>N225*D225/12</f>
        <v>215.96306225702278</v>
      </c>
      <c r="Q225" s="25">
        <f>IF(N225&lt;=0.005,0,MIN(N225,O225-P225))</f>
        <v>532.6846650317676</v>
      </c>
      <c r="R225" s="25">
        <f>MAX(0,N225-Q225)</f>
        <v>88831.34109649489</v>
      </c>
    </row>
    <row r="226" spans="2:18" ht="18" customHeight="1">
      <c r="B226" s="21">
        <f>ROW()-5</f>
        <v>221</v>
      </c>
      <c r="C226" s="22">
        <f>EDATE(Hipoteca!$C$7,B226-1)</f>
        <v>53022.0</v>
      </c>
      <c r="D226" s="23">
        <f>IFERROR(LOOKUP(2,1/((Hipoteca!$E$4:$E$9&lt;&gt;"")*(Hipoteca!$E$4:$E$9&lt;=C226)),Hipoteca!$F$4:$F$9),Hipoteca!$C$6)</f>
        <v>0.029</v>
      </c>
      <c r="E226" s="24">
        <f>J225</f>
        <v>65081.25177494157</v>
      </c>
      <c r="F226" s="24">
        <f>IF(E226&lt;=0.005,0,MIN(E226*(1+D226/12),IF(OR(Hipoteca!$C$8="Reducir cuota",D226&lt;&gt;D225),PMT(D226/12,K226,-E226),F225)))</f>
        <v>746.6003367545769</v>
      </c>
      <c r="G226" s="24">
        <f>E226*D226/12</f>
        <v>157.27969178944213</v>
      </c>
      <c r="H226" s="24">
        <f>IF(E226&lt;=0.005,0,MIN(E226,F226-G226))</f>
        <v>589.3206449651348</v>
      </c>
      <c r="I226" s="24">
        <f>MIN(E226-H226,SUMPRODUCT((YEAR(Hipoteca!$H$4:$H$15)=YEAR(C226))*(MONTH(Hipoteca!$H$4:$H$15)=MONTH(C226))*(Hipoteca!$H$4:$H$15&lt;&gt;"")*Hipoteca!$I$4:$I$15))</f>
        <v>0</v>
      </c>
      <c r="J226" s="24">
        <f>MAX(0,E226-H226-I226)</f>
        <v>64491.93112997644</v>
      </c>
      <c r="K226" s="21">
        <f>IF(E226&lt;=0.005,0,IF(Hipoteca!$C$8="Reducir cuota",$K$6-(B226-1),IFERROR(MAX(1,ROUNDUP(NPER(D225/12,-F225,E226),0)),$K$6-(B226-1))))</f>
        <v>99</v>
      </c>
      <c r="L226" s="21">
        <f>YEAR(C226)</f>
        <v>2045</v>
      </c>
      <c r="N226" s="25">
        <f>R225</f>
        <v>88831.34109649489</v>
      </c>
      <c r="O226" s="25">
        <f>IF(N226&lt;=0.005,0,IF(D226&lt;&gt;D225,PMT(D226/12,Hipoteca!$C$5*12-(B226-1),-N226),O225))</f>
        <v>748.6477272887904</v>
      </c>
      <c r="P226" s="25">
        <f>N226*D226/12</f>
        <v>214.67574098319596</v>
      </c>
      <c r="Q226" s="25">
        <f>IF(N226&lt;=0.005,0,MIN(N226,O226-P226))</f>
        <v>533.9719863055944</v>
      </c>
      <c r="R226" s="25">
        <f>MAX(0,N226-Q226)</f>
        <v>88297.36911018929</v>
      </c>
    </row>
    <row r="227" spans="2:18" ht="18" customHeight="1">
      <c r="B227" s="21">
        <f>ROW()-5</f>
        <v>222</v>
      </c>
      <c r="C227" s="22">
        <f>EDATE(Hipoteca!$C$7,B227-1)</f>
        <v>53053.0</v>
      </c>
      <c r="D227" s="23">
        <f>IFERROR(LOOKUP(2,1/((Hipoteca!$E$4:$E$9&lt;&gt;"")*(Hipoteca!$E$4:$E$9&lt;=C227)),Hipoteca!$F$4:$F$9),Hipoteca!$C$6)</f>
        <v>0.029</v>
      </c>
      <c r="E227" s="24">
        <f>J226</f>
        <v>64491.93112997644</v>
      </c>
      <c r="F227" s="24">
        <f>IF(E227&lt;=0.005,0,MIN(E227*(1+D227/12),IF(OR(Hipoteca!$C$8="Reducir cuota",D227&lt;&gt;D226),PMT(D227/12,K227,-E227),F226)))</f>
        <v>746.6003367545769</v>
      </c>
      <c r="G227" s="24">
        <f>E227*D227/12</f>
        <v>155.8555002307764</v>
      </c>
      <c r="H227" s="24">
        <f>IF(E227&lt;=0.005,0,MIN(E227,F227-G227))</f>
        <v>590.7448365238005</v>
      </c>
      <c r="I227" s="24">
        <f>MIN(E227-H227,SUMPRODUCT((YEAR(Hipoteca!$H$4:$H$15)=YEAR(C227))*(MONTH(Hipoteca!$H$4:$H$15)=MONTH(C227))*(Hipoteca!$H$4:$H$15&lt;&gt;"")*Hipoteca!$I$4:$I$15))</f>
        <v>0</v>
      </c>
      <c r="J227" s="24">
        <f>MAX(0,E227-H227-I227)</f>
        <v>63901.186293452636</v>
      </c>
      <c r="K227" s="21">
        <f>IF(E227&lt;=0.005,0,IF(Hipoteca!$C$8="Reducir cuota",$K$6-(B227-1),IFERROR(MAX(1,ROUNDUP(NPER(D226/12,-F226,E227),0)),$K$6-(B227-1))))</f>
        <v>98</v>
      </c>
      <c r="L227" s="21">
        <f>YEAR(C227)</f>
        <v>2045</v>
      </c>
      <c r="N227" s="25">
        <f>R226</f>
        <v>88297.36911018929</v>
      </c>
      <c r="O227" s="25">
        <f>IF(N227&lt;=0.005,0,IF(D227&lt;&gt;D226,PMT(D227/12,Hipoteca!$C$5*12-(B227-1),-N227),O226))</f>
        <v>748.6477272887904</v>
      </c>
      <c r="P227" s="25">
        <f>N227*D227/12</f>
        <v>213.38530868295746</v>
      </c>
      <c r="Q227" s="25">
        <f>IF(N227&lt;=0.005,0,MIN(N227,O227-P227))</f>
        <v>535.262418605833</v>
      </c>
      <c r="R227" s="25">
        <f>MAX(0,N227-Q227)</f>
        <v>87762.10669158345</v>
      </c>
    </row>
    <row r="228" spans="2:18" ht="18" customHeight="1">
      <c r="B228" s="21">
        <f>ROW()-5</f>
        <v>223</v>
      </c>
      <c r="C228" s="22">
        <f>EDATE(Hipoteca!$C$7,B228-1)</f>
        <v>53083.0</v>
      </c>
      <c r="D228" s="23">
        <f>IFERROR(LOOKUP(2,1/((Hipoteca!$E$4:$E$9&lt;&gt;"")*(Hipoteca!$E$4:$E$9&lt;=C228)),Hipoteca!$F$4:$F$9),Hipoteca!$C$6)</f>
        <v>0.029</v>
      </c>
      <c r="E228" s="24">
        <f>J227</f>
        <v>63901.186293452636</v>
      </c>
      <c r="F228" s="24">
        <f>IF(E228&lt;=0.005,0,MIN(E228*(1+D228/12),IF(OR(Hipoteca!$C$8="Reducir cuota",D228&lt;&gt;D227),PMT(D228/12,K228,-E228),F227)))</f>
        <v>746.6003367545769</v>
      </c>
      <c r="G228" s="24">
        <f>E228*D228/12</f>
        <v>154.42786687584388</v>
      </c>
      <c r="H228" s="24">
        <f>IF(E228&lt;=0.005,0,MIN(E228,F228-G228))</f>
        <v>592.1724698787331</v>
      </c>
      <c r="I228" s="24">
        <f>MIN(E228-H228,SUMPRODUCT((YEAR(Hipoteca!$H$4:$H$15)=YEAR(C228))*(MONTH(Hipoteca!$H$4:$H$15)=MONTH(C228))*(Hipoteca!$H$4:$H$15&lt;&gt;"")*Hipoteca!$I$4:$I$15))</f>
        <v>0</v>
      </c>
      <c r="J228" s="24">
        <f>MAX(0,E228-H228-I228)</f>
        <v>63309.0138235739</v>
      </c>
      <c r="K228" s="21">
        <f>IF(E228&lt;=0.005,0,IF(Hipoteca!$C$8="Reducir cuota",$K$6-(B228-1),IFERROR(MAX(1,ROUNDUP(NPER(D227/12,-F227,E228),0)),$K$6-(B228-1))))</f>
        <v>97</v>
      </c>
      <c r="L228" s="21">
        <f>YEAR(C228)</f>
        <v>2045</v>
      </c>
      <c r="N228" s="25">
        <f>R227</f>
        <v>87762.10669158345</v>
      </c>
      <c r="O228" s="25">
        <f>IF(N228&lt;=0.005,0,IF(D228&lt;&gt;D227,PMT(D228/12,Hipoteca!$C$5*12-(B228-1),-N228),O227))</f>
        <v>748.6477272887904</v>
      </c>
      <c r="P228" s="25">
        <f>N228*D228/12</f>
        <v>212.09175783799336</v>
      </c>
      <c r="Q228" s="25">
        <f>IF(N228&lt;=0.005,0,MIN(N228,O228-P228))</f>
        <v>536.5559694507971</v>
      </c>
      <c r="R228" s="25">
        <f>MAX(0,N228-Q228)</f>
        <v>87225.55072213266</v>
      </c>
    </row>
    <row r="229" spans="2:18" ht="18" customHeight="1">
      <c r="B229" s="21">
        <f>ROW()-5</f>
        <v>224</v>
      </c>
      <c r="C229" s="22">
        <f>EDATE(Hipoteca!$C$7,B229-1)</f>
        <v>53114.0</v>
      </c>
      <c r="D229" s="23">
        <f>IFERROR(LOOKUP(2,1/((Hipoteca!$E$4:$E$9&lt;&gt;"")*(Hipoteca!$E$4:$E$9&lt;=C229)),Hipoteca!$F$4:$F$9),Hipoteca!$C$6)</f>
        <v>0.029</v>
      </c>
      <c r="E229" s="24">
        <f>J228</f>
        <v>63309.0138235739</v>
      </c>
      <c r="F229" s="24">
        <f>IF(E229&lt;=0.005,0,MIN(E229*(1+D229/12),IF(OR(Hipoteca!$C$8="Reducir cuota",D229&lt;&gt;D228),PMT(D229/12,K229,-E229),F228)))</f>
        <v>746.6003367545769</v>
      </c>
      <c r="G229" s="24">
        <f>E229*D229/12</f>
        <v>152.99678340697025</v>
      </c>
      <c r="H229" s="24">
        <f>IF(E229&lt;=0.005,0,MIN(E229,F229-G229))</f>
        <v>593.6035533476066</v>
      </c>
      <c r="I229" s="24">
        <f>MIN(E229-H229,SUMPRODUCT((YEAR(Hipoteca!$H$4:$H$15)=YEAR(C229))*(MONTH(Hipoteca!$H$4:$H$15)=MONTH(C229))*(Hipoteca!$H$4:$H$15&lt;&gt;"")*Hipoteca!$I$4:$I$15))</f>
        <v>0</v>
      </c>
      <c r="J229" s="24">
        <f>MAX(0,E229-H229-I229)</f>
        <v>62715.41027022629</v>
      </c>
      <c r="K229" s="21">
        <f>IF(E229&lt;=0.005,0,IF(Hipoteca!$C$8="Reducir cuota",$K$6-(B229-1),IFERROR(MAX(1,ROUNDUP(NPER(D228/12,-F228,E229),0)),$K$6-(B229-1))))</f>
        <v>96</v>
      </c>
      <c r="L229" s="21">
        <f>YEAR(C229)</f>
        <v>2045</v>
      </c>
      <c r="N229" s="25">
        <f>R228</f>
        <v>87225.55072213266</v>
      </c>
      <c r="O229" s="25">
        <f>IF(N229&lt;=0.005,0,IF(D229&lt;&gt;D228,PMT(D229/12,Hipoteca!$C$5*12-(B229-1),-N229),O228))</f>
        <v>748.6477272887904</v>
      </c>
      <c r="P229" s="25">
        <f>N229*D229/12</f>
        <v>210.7950809118206</v>
      </c>
      <c r="Q229" s="25">
        <f>IF(N229&lt;=0.005,0,MIN(N229,O229-P229))</f>
        <v>537.8526463769698</v>
      </c>
      <c r="R229" s="25">
        <f>MAX(0,N229-Q229)</f>
        <v>86687.69807575569</v>
      </c>
    </row>
    <row r="230" spans="2:18" ht="18" customHeight="1">
      <c r="B230" s="21">
        <f>ROW()-5</f>
        <v>225</v>
      </c>
      <c r="C230" s="22">
        <f>EDATE(Hipoteca!$C$7,B230-1)</f>
        <v>53144.0</v>
      </c>
      <c r="D230" s="23">
        <f>IFERROR(LOOKUP(2,1/((Hipoteca!$E$4:$E$9&lt;&gt;"")*(Hipoteca!$E$4:$E$9&lt;=C230)),Hipoteca!$F$4:$F$9),Hipoteca!$C$6)</f>
        <v>0.029</v>
      </c>
      <c r="E230" s="24">
        <f>J229</f>
        <v>62715.41027022629</v>
      </c>
      <c r="F230" s="24">
        <f>IF(E230&lt;=0.005,0,MIN(E230*(1+D230/12),IF(OR(Hipoteca!$C$8="Reducir cuota",D230&lt;&gt;D229),PMT(D230/12,K230,-E230),F229)))</f>
        <v>746.6003367545769</v>
      </c>
      <c r="G230" s="24">
        <f>E230*D230/12</f>
        <v>151.5622414863802</v>
      </c>
      <c r="H230" s="24">
        <f>IF(E230&lt;=0.005,0,MIN(E230,F230-G230))</f>
        <v>595.0380952681967</v>
      </c>
      <c r="I230" s="24">
        <f>MIN(E230-H230,SUMPRODUCT((YEAR(Hipoteca!$H$4:$H$15)=YEAR(C230))*(MONTH(Hipoteca!$H$4:$H$15)=MONTH(C230))*(Hipoteca!$H$4:$H$15&lt;&gt;"")*Hipoteca!$I$4:$I$15))</f>
        <v>0</v>
      </c>
      <c r="J230" s="24">
        <f>MAX(0,E230-H230-I230)</f>
        <v>62120.372174958095</v>
      </c>
      <c r="K230" s="21">
        <f>IF(E230&lt;=0.005,0,IF(Hipoteca!$C$8="Reducir cuota",$K$6-(B230-1),IFERROR(MAX(1,ROUNDUP(NPER(D229/12,-F229,E230),0)),$K$6-(B230-1))))</f>
        <v>95</v>
      </c>
      <c r="L230" s="21">
        <f>YEAR(C230)</f>
        <v>2045</v>
      </c>
      <c r="N230" s="25">
        <f>R229</f>
        <v>86687.69807575569</v>
      </c>
      <c r="O230" s="25">
        <f>IF(N230&lt;=0.005,0,IF(D230&lt;&gt;D229,PMT(D230/12,Hipoteca!$C$5*12-(B230-1),-N230),O229))</f>
        <v>748.6477272887904</v>
      </c>
      <c r="P230" s="25">
        <f>N230*D230/12</f>
        <v>209.49527034974292</v>
      </c>
      <c r="Q230" s="25">
        <f>IF(N230&lt;=0.005,0,MIN(N230,O230-P230))</f>
        <v>539.1524569390475</v>
      </c>
      <c r="R230" s="25">
        <f>MAX(0,N230-Q230)</f>
        <v>86148.54561881664</v>
      </c>
    </row>
    <row r="231" spans="2:18" ht="18" customHeight="1">
      <c r="B231" s="21">
        <f>ROW()-5</f>
        <v>226</v>
      </c>
      <c r="C231" s="22">
        <f>EDATE(Hipoteca!$C$7,B231-1)</f>
        <v>53175.0</v>
      </c>
      <c r="D231" s="23">
        <f>IFERROR(LOOKUP(2,1/((Hipoteca!$E$4:$E$9&lt;&gt;"")*(Hipoteca!$E$4:$E$9&lt;=C231)),Hipoteca!$F$4:$F$9),Hipoteca!$C$6)</f>
        <v>0.029</v>
      </c>
      <c r="E231" s="24">
        <f>J230</f>
        <v>62120.372174958095</v>
      </c>
      <c r="F231" s="24">
        <f>IF(E231&lt;=0.005,0,MIN(E231*(1+D231/12),IF(OR(Hipoteca!$C$8="Reducir cuota",D231&lt;&gt;D230),PMT(D231/12,K231,-E231),F230)))</f>
        <v>746.6003367545769</v>
      </c>
      <c r="G231" s="24">
        <f>E231*D231/12</f>
        <v>150.12423275614873</v>
      </c>
      <c r="H231" s="24">
        <f>IF(E231&lt;=0.005,0,MIN(E231,F231-G231))</f>
        <v>596.4761039984282</v>
      </c>
      <c r="I231" s="24">
        <f>MIN(E231-H231,SUMPRODUCT((YEAR(Hipoteca!$H$4:$H$15)=YEAR(C231))*(MONTH(Hipoteca!$H$4:$H$15)=MONTH(C231))*(Hipoteca!$H$4:$H$15&lt;&gt;"")*Hipoteca!$I$4:$I$15))</f>
        <v>0</v>
      </c>
      <c r="J231" s="24">
        <f>MAX(0,E231-H231-I231)</f>
        <v>61523.896070959665</v>
      </c>
      <c r="K231" s="21">
        <f>IF(E231&lt;=0.005,0,IF(Hipoteca!$C$8="Reducir cuota",$K$6-(B231-1),IFERROR(MAX(1,ROUNDUP(NPER(D230/12,-F230,E231),0)),$K$6-(B231-1))))</f>
        <v>94</v>
      </c>
      <c r="L231" s="21">
        <f>YEAR(C231)</f>
        <v>2045</v>
      </c>
      <c r="N231" s="25">
        <f>R230</f>
        <v>86148.54561881664</v>
      </c>
      <c r="O231" s="25">
        <f>IF(N231&lt;=0.005,0,IF(D231&lt;&gt;D230,PMT(D231/12,Hipoteca!$C$5*12-(B231-1),-N231),O230))</f>
        <v>748.6477272887904</v>
      </c>
      <c r="P231" s="25">
        <f>N231*D231/12</f>
        <v>208.1923185788069</v>
      </c>
      <c r="Q231" s="25">
        <f>IF(N231&lt;=0.005,0,MIN(N231,O231-P231))</f>
        <v>540.4554087099835</v>
      </c>
      <c r="R231" s="25">
        <f>MAX(0,N231-Q231)</f>
        <v>85608.09021010666</v>
      </c>
    </row>
    <row r="232" spans="2:18" ht="18" customHeight="1">
      <c r="B232" s="21">
        <f>ROW()-5</f>
        <v>227</v>
      </c>
      <c r="C232" s="22">
        <f>EDATE(Hipoteca!$C$7,B232-1)</f>
        <v>53206.0</v>
      </c>
      <c r="D232" s="23">
        <f>IFERROR(LOOKUP(2,1/((Hipoteca!$E$4:$E$9&lt;&gt;"")*(Hipoteca!$E$4:$E$9&lt;=C232)),Hipoteca!$F$4:$F$9),Hipoteca!$C$6)</f>
        <v>0.029</v>
      </c>
      <c r="E232" s="24">
        <f>J231</f>
        <v>61523.896070959665</v>
      </c>
      <c r="F232" s="24">
        <f>IF(E232&lt;=0.005,0,MIN(E232*(1+D232/12),IF(OR(Hipoteca!$C$8="Reducir cuota",D232&lt;&gt;D231),PMT(D232/12,K232,-E232),F231)))</f>
        <v>746.6003367545769</v>
      </c>
      <c r="G232" s="24">
        <f>E232*D232/12</f>
        <v>148.68274883815255</v>
      </c>
      <c r="H232" s="24">
        <f>IF(E232&lt;=0.005,0,MIN(E232,F232-G232))</f>
        <v>597.9175879164244</v>
      </c>
      <c r="I232" s="24">
        <f>MIN(E232-H232,SUMPRODUCT((YEAR(Hipoteca!$H$4:$H$15)=YEAR(C232))*(MONTH(Hipoteca!$H$4:$H$15)=MONTH(C232))*(Hipoteca!$H$4:$H$15&lt;&gt;"")*Hipoteca!$I$4:$I$15))</f>
        <v>0</v>
      </c>
      <c r="J232" s="24">
        <f>MAX(0,E232-H232-I232)</f>
        <v>60925.97848304324</v>
      </c>
      <c r="K232" s="21">
        <f>IF(E232&lt;=0.005,0,IF(Hipoteca!$C$8="Reducir cuota",$K$6-(B232-1),IFERROR(MAX(1,ROUNDUP(NPER(D231/12,-F231,E232),0)),$K$6-(B232-1))))</f>
        <v>93</v>
      </c>
      <c r="L232" s="21">
        <f>YEAR(C232)</f>
        <v>2045</v>
      </c>
      <c r="N232" s="25">
        <f>R231</f>
        <v>85608.09021010666</v>
      </c>
      <c r="O232" s="25">
        <f>IF(N232&lt;=0.005,0,IF(D232&lt;&gt;D231,PMT(D232/12,Hipoteca!$C$5*12-(B232-1),-N232),O231))</f>
        <v>748.6477272887904</v>
      </c>
      <c r="P232" s="25">
        <f>N232*D232/12</f>
        <v>206.88621800775778</v>
      </c>
      <c r="Q232" s="25">
        <f>IF(N232&lt;=0.005,0,MIN(N232,O232-P232))</f>
        <v>541.7615092810327</v>
      </c>
      <c r="R232" s="25">
        <f>MAX(0,N232-Q232)</f>
        <v>85066.32870082563</v>
      </c>
    </row>
    <row r="233" spans="2:18" ht="18" customHeight="1">
      <c r="B233" s="21">
        <f>ROW()-5</f>
        <v>228</v>
      </c>
      <c r="C233" s="22">
        <f>EDATE(Hipoteca!$C$7,B233-1)</f>
        <v>53236.0</v>
      </c>
      <c r="D233" s="23">
        <f>IFERROR(LOOKUP(2,1/((Hipoteca!$E$4:$E$9&lt;&gt;"")*(Hipoteca!$E$4:$E$9&lt;=C233)),Hipoteca!$F$4:$F$9),Hipoteca!$C$6)</f>
        <v>0.029</v>
      </c>
      <c r="E233" s="24">
        <f>J232</f>
        <v>60925.97848304324</v>
      </c>
      <c r="F233" s="24">
        <f>IF(E233&lt;=0.005,0,MIN(E233*(1+D233/12),IF(OR(Hipoteca!$C$8="Reducir cuota",D233&lt;&gt;D232),PMT(D233/12,K233,-E233),F232)))</f>
        <v>746.6003367545769</v>
      </c>
      <c r="G233" s="24">
        <f>E233*D233/12</f>
        <v>147.23778133402118</v>
      </c>
      <c r="H233" s="24">
        <f>IF(E233&lt;=0.005,0,MIN(E233,F233-G233))</f>
        <v>599.3625554205557</v>
      </c>
      <c r="I233" s="24">
        <f>MIN(E233-H233,SUMPRODUCT((YEAR(Hipoteca!$H$4:$H$15)=YEAR(C233))*(MONTH(Hipoteca!$H$4:$H$15)=MONTH(C233))*(Hipoteca!$H$4:$H$15&lt;&gt;"")*Hipoteca!$I$4:$I$15))</f>
        <v>0</v>
      </c>
      <c r="J233" s="24">
        <f>MAX(0,E233-H233-I233)</f>
        <v>60326.61592762268</v>
      </c>
      <c r="K233" s="21">
        <f>IF(E233&lt;=0.005,0,IF(Hipoteca!$C$8="Reducir cuota",$K$6-(B233-1),IFERROR(MAX(1,ROUNDUP(NPER(D232/12,-F232,E233),0)),$K$6-(B233-1))))</f>
        <v>92</v>
      </c>
      <c r="L233" s="21">
        <f>YEAR(C233)</f>
        <v>2045</v>
      </c>
      <c r="N233" s="25">
        <f>R232</f>
        <v>85066.32870082563</v>
      </c>
      <c r="O233" s="25">
        <f>IF(N233&lt;=0.005,0,IF(D233&lt;&gt;D232,PMT(D233/12,Hipoteca!$C$5*12-(B233-1),-N233),O232))</f>
        <v>748.6477272887904</v>
      </c>
      <c r="P233" s="25">
        <f>N233*D233/12</f>
        <v>205.5769610269953</v>
      </c>
      <c r="Q233" s="25">
        <f>IF(N233&lt;=0.005,0,MIN(N233,O233-P233))</f>
        <v>543.0707662617951</v>
      </c>
      <c r="R233" s="25">
        <f>MAX(0,N233-Q233)</f>
        <v>84523.25793456384</v>
      </c>
    </row>
    <row r="234" spans="2:18" ht="18" customHeight="1">
      <c r="B234" s="21">
        <f>ROW()-5</f>
        <v>229</v>
      </c>
      <c r="C234" s="22">
        <f>EDATE(Hipoteca!$C$7,B234-1)</f>
        <v>53267.0</v>
      </c>
      <c r="D234" s="23">
        <f>IFERROR(LOOKUP(2,1/((Hipoteca!$E$4:$E$9&lt;&gt;"")*(Hipoteca!$E$4:$E$9&lt;=C234)),Hipoteca!$F$4:$F$9),Hipoteca!$C$6)</f>
        <v>0.029</v>
      </c>
      <c r="E234" s="24">
        <f>J233</f>
        <v>60326.61592762268</v>
      </c>
      <c r="F234" s="24">
        <f>IF(E234&lt;=0.005,0,MIN(E234*(1+D234/12),IF(OR(Hipoteca!$C$8="Reducir cuota",D234&lt;&gt;D233),PMT(D234/12,K234,-E234),F233)))</f>
        <v>746.6003367545769</v>
      </c>
      <c r="G234" s="24">
        <f>E234*D234/12</f>
        <v>145.78932182508817</v>
      </c>
      <c r="H234" s="24">
        <f>IF(E234&lt;=0.005,0,MIN(E234,F234-G234))</f>
        <v>600.8110149294887</v>
      </c>
      <c r="I234" s="24">
        <f>MIN(E234-H234,SUMPRODUCT((YEAR(Hipoteca!$H$4:$H$15)=YEAR(C234))*(MONTH(Hipoteca!$H$4:$H$15)=MONTH(C234))*(Hipoteca!$H$4:$H$15&lt;&gt;"")*Hipoteca!$I$4:$I$15))</f>
        <v>0</v>
      </c>
      <c r="J234" s="24">
        <f>MAX(0,E234-H234-I234)</f>
        <v>59725.804912693195</v>
      </c>
      <c r="K234" s="21">
        <f>IF(E234&lt;=0.005,0,IF(Hipoteca!$C$8="Reducir cuota",$K$6-(B234-1),IFERROR(MAX(1,ROUNDUP(NPER(D233/12,-F233,E234),0)),$K$6-(B234-1))))</f>
        <v>91</v>
      </c>
      <c r="L234" s="21">
        <f>YEAR(C234)</f>
        <v>2045</v>
      </c>
      <c r="N234" s="25">
        <f>R233</f>
        <v>84523.25793456384</v>
      </c>
      <c r="O234" s="25">
        <f>IF(N234&lt;=0.005,0,IF(D234&lt;&gt;D233,PMT(D234/12,Hipoteca!$C$5*12-(B234-1),-N234),O233))</f>
        <v>748.6477272887904</v>
      </c>
      <c r="P234" s="25">
        <f>N234*D234/12</f>
        <v>204.26454000852928</v>
      </c>
      <c r="Q234" s="25">
        <f>IF(N234&lt;=0.005,0,MIN(N234,O234-P234))</f>
        <v>544.3831872802612</v>
      </c>
      <c r="R234" s="25">
        <f>MAX(0,N234-Q234)</f>
        <v>83978.87474728358</v>
      </c>
    </row>
    <row r="235" spans="2:18" ht="18" customHeight="1">
      <c r="B235" s="21">
        <f>ROW()-5</f>
        <v>230</v>
      </c>
      <c r="C235" s="22">
        <f>EDATE(Hipoteca!$C$7,B235-1)</f>
        <v>53297.0</v>
      </c>
      <c r="D235" s="23">
        <f>IFERROR(LOOKUP(2,1/((Hipoteca!$E$4:$E$9&lt;&gt;"")*(Hipoteca!$E$4:$E$9&lt;=C235)),Hipoteca!$F$4:$F$9),Hipoteca!$C$6)</f>
        <v>0.029</v>
      </c>
      <c r="E235" s="24">
        <f>J234</f>
        <v>59725.804912693195</v>
      </c>
      <c r="F235" s="24">
        <f>IF(E235&lt;=0.005,0,MIN(E235*(1+D235/12),IF(OR(Hipoteca!$C$8="Reducir cuota",D235&lt;&gt;D234),PMT(D235/12,K235,-E235),F234)))</f>
        <v>746.6003367545769</v>
      </c>
      <c r="G235" s="24">
        <f>E235*D235/12</f>
        <v>144.3373618723419</v>
      </c>
      <c r="H235" s="24">
        <f>IF(E235&lt;=0.005,0,MIN(E235,F235-G235))</f>
        <v>602.2629748822351</v>
      </c>
      <c r="I235" s="24">
        <f>MIN(E235-H235,SUMPRODUCT((YEAR(Hipoteca!$H$4:$H$15)=YEAR(C235))*(MONTH(Hipoteca!$H$4:$H$15)=MONTH(C235))*(Hipoteca!$H$4:$H$15&lt;&gt;"")*Hipoteca!$I$4:$I$15))</f>
        <v>0</v>
      </c>
      <c r="J235" s="24">
        <f>MAX(0,E235-H235-I235)</f>
        <v>59123.54193781096</v>
      </c>
      <c r="K235" s="21">
        <f>IF(E235&lt;=0.005,0,IF(Hipoteca!$C$8="Reducir cuota",$K$6-(B235-1),IFERROR(MAX(1,ROUNDUP(NPER(D234/12,-F234,E235),0)),$K$6-(B235-1))))</f>
        <v>90</v>
      </c>
      <c r="L235" s="21">
        <f>YEAR(C235)</f>
        <v>2045</v>
      </c>
      <c r="N235" s="25">
        <f>R234</f>
        <v>83978.87474728358</v>
      </c>
      <c r="O235" s="25">
        <f>IF(N235&lt;=0.005,0,IF(D235&lt;&gt;D234,PMT(D235/12,Hipoteca!$C$5*12-(B235-1),-N235),O234))</f>
        <v>748.6477272887904</v>
      </c>
      <c r="P235" s="25">
        <f>N235*D235/12</f>
        <v>202.94894730593535</v>
      </c>
      <c r="Q235" s="25">
        <f>IF(N235&lt;=0.005,0,MIN(N235,O235-P235))</f>
        <v>545.6987799828551</v>
      </c>
      <c r="R235" s="25">
        <f>MAX(0,N235-Q235)</f>
        <v>83433.17596730073</v>
      </c>
    </row>
    <row r="236" spans="2:18" ht="18" customHeight="1">
      <c r="B236" s="21">
        <f>ROW()-5</f>
        <v>231</v>
      </c>
      <c r="C236" s="22">
        <f>EDATE(Hipoteca!$C$7,B236-1)</f>
        <v>53328.0</v>
      </c>
      <c r="D236" s="23">
        <f>IFERROR(LOOKUP(2,1/((Hipoteca!$E$4:$E$9&lt;&gt;"")*(Hipoteca!$E$4:$E$9&lt;=C236)),Hipoteca!$F$4:$F$9),Hipoteca!$C$6)</f>
        <v>0.029</v>
      </c>
      <c r="E236" s="24">
        <f>J235</f>
        <v>59123.54193781096</v>
      </c>
      <c r="F236" s="24">
        <f>IF(E236&lt;=0.005,0,MIN(E236*(1+D236/12),IF(OR(Hipoteca!$C$8="Reducir cuota",D236&lt;&gt;D235),PMT(D236/12,K236,-E236),F235)))</f>
        <v>746.6003367545769</v>
      </c>
      <c r="G236" s="24">
        <f>E236*D236/12</f>
        <v>142.8818930163765</v>
      </c>
      <c r="H236" s="24">
        <f>IF(E236&lt;=0.005,0,MIN(E236,F236-G236))</f>
        <v>603.7184437382004</v>
      </c>
      <c r="I236" s="24">
        <f>MIN(E236-H236,SUMPRODUCT((YEAR(Hipoteca!$H$4:$H$15)=YEAR(C236))*(MONTH(Hipoteca!$H$4:$H$15)=MONTH(C236))*(Hipoteca!$H$4:$H$15&lt;&gt;"")*Hipoteca!$I$4:$I$15))</f>
        <v>0</v>
      </c>
      <c r="J236" s="24">
        <f>MAX(0,E236-H236-I236)</f>
        <v>58519.823494072756</v>
      </c>
      <c r="K236" s="21">
        <f>IF(E236&lt;=0.005,0,IF(Hipoteca!$C$8="Reducir cuota",$K$6-(B236-1),IFERROR(MAX(1,ROUNDUP(NPER(D235/12,-F235,E236),0)),$K$6-(B236-1))))</f>
        <v>89</v>
      </c>
      <c r="L236" s="21">
        <f>YEAR(C236)</f>
        <v>2046</v>
      </c>
      <c r="N236" s="25">
        <f>R235</f>
        <v>83433.17596730073</v>
      </c>
      <c r="O236" s="25">
        <f>IF(N236&lt;=0.005,0,IF(D236&lt;&gt;D235,PMT(D236/12,Hipoteca!$C$5*12-(B236-1),-N236),O235))</f>
        <v>748.6477272887904</v>
      </c>
      <c r="P236" s="25">
        <f>N236*D236/12</f>
        <v>201.6301752543101</v>
      </c>
      <c r="Q236" s="25">
        <f>IF(N236&lt;=0.005,0,MIN(N236,O236-P236))</f>
        <v>547.0175520344803</v>
      </c>
      <c r="R236" s="25">
        <f>MAX(0,N236-Q236)</f>
        <v>82886.15841526625</v>
      </c>
    </row>
    <row r="237" spans="2:18" ht="18" customHeight="1">
      <c r="B237" s="21">
        <f>ROW()-5</f>
        <v>232</v>
      </c>
      <c r="C237" s="22">
        <f>EDATE(Hipoteca!$C$7,B237-1)</f>
        <v>53359.0</v>
      </c>
      <c r="D237" s="23">
        <f>IFERROR(LOOKUP(2,1/((Hipoteca!$E$4:$E$9&lt;&gt;"")*(Hipoteca!$E$4:$E$9&lt;=C237)),Hipoteca!$F$4:$F$9),Hipoteca!$C$6)</f>
        <v>0.029</v>
      </c>
      <c r="E237" s="24">
        <f>J236</f>
        <v>58519.823494072756</v>
      </c>
      <c r="F237" s="24">
        <f>IF(E237&lt;=0.005,0,MIN(E237*(1+D237/12),IF(OR(Hipoteca!$C$8="Reducir cuota",D237&lt;&gt;D236),PMT(D237/12,K237,-E237),F236)))</f>
        <v>746.6003367545769</v>
      </c>
      <c r="G237" s="24">
        <f>E237*D237/12</f>
        <v>141.4229067773425</v>
      </c>
      <c r="H237" s="24">
        <f>IF(E237&lt;=0.005,0,MIN(E237,F237-G237))</f>
        <v>605.1774299772344</v>
      </c>
      <c r="I237" s="24">
        <f>MIN(E237-H237,SUMPRODUCT((YEAR(Hipoteca!$H$4:$H$15)=YEAR(C237))*(MONTH(Hipoteca!$H$4:$H$15)=MONTH(C237))*(Hipoteca!$H$4:$H$15&lt;&gt;"")*Hipoteca!$I$4:$I$15))</f>
        <v>0</v>
      </c>
      <c r="J237" s="24">
        <f>MAX(0,E237-H237-I237)</f>
        <v>57914.64606409552</v>
      </c>
      <c r="K237" s="21">
        <f>IF(E237&lt;=0.005,0,IF(Hipoteca!$C$8="Reducir cuota",$K$6-(B237-1),IFERROR(MAX(1,ROUNDUP(NPER(D236/12,-F236,E237),0)),$K$6-(B237-1))))</f>
        <v>88</v>
      </c>
      <c r="L237" s="21">
        <f>YEAR(C237)</f>
        <v>2046</v>
      </c>
      <c r="N237" s="25">
        <f>R236</f>
        <v>82886.15841526625</v>
      </c>
      <c r="O237" s="25">
        <f>IF(N237&lt;=0.005,0,IF(D237&lt;&gt;D236,PMT(D237/12,Hipoteca!$C$5*12-(B237-1),-N237),O236))</f>
        <v>748.6477272887904</v>
      </c>
      <c r="P237" s="25">
        <f>N237*D237/12</f>
        <v>200.3082161702268</v>
      </c>
      <c r="Q237" s="25">
        <f>IF(N237&lt;=0.005,0,MIN(N237,O237-P237))</f>
        <v>548.3395111185636</v>
      </c>
      <c r="R237" s="25">
        <f>MAX(0,N237-Q237)</f>
        <v>82337.81890414769</v>
      </c>
    </row>
    <row r="238" spans="2:18" ht="18" customHeight="1">
      <c r="B238" s="21">
        <f>ROW()-5</f>
        <v>233</v>
      </c>
      <c r="C238" s="22">
        <f>EDATE(Hipoteca!$C$7,B238-1)</f>
        <v>53387.0</v>
      </c>
      <c r="D238" s="23">
        <f>IFERROR(LOOKUP(2,1/((Hipoteca!$E$4:$E$9&lt;&gt;"")*(Hipoteca!$E$4:$E$9&lt;=C238)),Hipoteca!$F$4:$F$9),Hipoteca!$C$6)</f>
        <v>0.029</v>
      </c>
      <c r="E238" s="24">
        <f>J237</f>
        <v>57914.64606409552</v>
      </c>
      <c r="F238" s="24">
        <f>IF(E238&lt;=0.005,0,MIN(E238*(1+D238/12),IF(OR(Hipoteca!$C$8="Reducir cuota",D238&lt;&gt;D237),PMT(D238/12,K238,-E238),F237)))</f>
        <v>746.6003367545769</v>
      </c>
      <c r="G238" s="24">
        <f>E238*D238/12</f>
        <v>139.9603946548975</v>
      </c>
      <c r="H238" s="24">
        <f>IF(E238&lt;=0.005,0,MIN(E238,F238-G238))</f>
        <v>606.6399420996794</v>
      </c>
      <c r="I238" s="24">
        <f>MIN(E238-H238,SUMPRODUCT((YEAR(Hipoteca!$H$4:$H$15)=YEAR(C238))*(MONTH(Hipoteca!$H$4:$H$15)=MONTH(C238))*(Hipoteca!$H$4:$H$15&lt;&gt;"")*Hipoteca!$I$4:$I$15))</f>
        <v>0</v>
      </c>
      <c r="J238" s="24">
        <f>MAX(0,E238-H238-I238)</f>
        <v>57308.00612199584</v>
      </c>
      <c r="K238" s="21">
        <f>IF(E238&lt;=0.005,0,IF(Hipoteca!$C$8="Reducir cuota",$K$6-(B238-1),IFERROR(MAX(1,ROUNDUP(NPER(D237/12,-F237,E238),0)),$K$6-(B238-1))))</f>
        <v>87</v>
      </c>
      <c r="L238" s="21">
        <f>YEAR(C238)</f>
        <v>2046</v>
      </c>
      <c r="N238" s="25">
        <f>R237</f>
        <v>82337.81890414769</v>
      </c>
      <c r="O238" s="25">
        <f>IF(N238&lt;=0.005,0,IF(D238&lt;&gt;D237,PMT(D238/12,Hipoteca!$C$5*12-(B238-1),-N238),O237))</f>
        <v>748.6477272887904</v>
      </c>
      <c r="P238" s="25">
        <f>N238*D238/12</f>
        <v>198.98306235169025</v>
      </c>
      <c r="Q238" s="25">
        <f>IF(N238&lt;=0.005,0,MIN(N238,O238-P238))</f>
        <v>549.6646649371002</v>
      </c>
      <c r="R238" s="25">
        <f>MAX(0,N238-Q238)</f>
        <v>81788.15423921059</v>
      </c>
    </row>
    <row r="239" spans="2:18" ht="18" customHeight="1">
      <c r="B239" s="21">
        <f>ROW()-5</f>
        <v>234</v>
      </c>
      <c r="C239" s="22">
        <f>EDATE(Hipoteca!$C$7,B239-1)</f>
        <v>53418.0</v>
      </c>
      <c r="D239" s="23">
        <f>IFERROR(LOOKUP(2,1/((Hipoteca!$E$4:$E$9&lt;&gt;"")*(Hipoteca!$E$4:$E$9&lt;=C239)),Hipoteca!$F$4:$F$9),Hipoteca!$C$6)</f>
        <v>0.029</v>
      </c>
      <c r="E239" s="24">
        <f>J238</f>
        <v>57308.00612199584</v>
      </c>
      <c r="F239" s="24">
        <f>IF(E239&lt;=0.005,0,MIN(E239*(1+D239/12),IF(OR(Hipoteca!$C$8="Reducir cuota",D239&lt;&gt;D238),PMT(D239/12,K239,-E239),F238)))</f>
        <v>746.6003367545769</v>
      </c>
      <c r="G239" s="24">
        <f>E239*D239/12</f>
        <v>138.49434812815662</v>
      </c>
      <c r="H239" s="24">
        <f>IF(E239&lt;=0.005,0,MIN(E239,F239-G239))</f>
        <v>608.1059886264203</v>
      </c>
      <c r="I239" s="24">
        <f>MIN(E239-H239,SUMPRODUCT((YEAR(Hipoteca!$H$4:$H$15)=YEAR(C239))*(MONTH(Hipoteca!$H$4:$H$15)=MONTH(C239))*(Hipoteca!$H$4:$H$15&lt;&gt;"")*Hipoteca!$I$4:$I$15))</f>
        <v>0</v>
      </c>
      <c r="J239" s="24">
        <f>MAX(0,E239-H239-I239)</f>
        <v>56699.90013336942</v>
      </c>
      <c r="K239" s="21">
        <f>IF(E239&lt;=0.005,0,IF(Hipoteca!$C$8="Reducir cuota",$K$6-(B239-1),IFERROR(MAX(1,ROUNDUP(NPER(D238/12,-F238,E239),0)),$K$6-(B239-1))))</f>
        <v>86</v>
      </c>
      <c r="L239" s="21">
        <f>YEAR(C239)</f>
        <v>2046</v>
      </c>
      <c r="N239" s="25">
        <f>R238</f>
        <v>81788.15423921059</v>
      </c>
      <c r="O239" s="25">
        <f>IF(N239&lt;=0.005,0,IF(D239&lt;&gt;D238,PMT(D239/12,Hipoteca!$C$5*12-(B239-1),-N239),O238))</f>
        <v>748.6477272887904</v>
      </c>
      <c r="P239" s="25">
        <f>N239*D239/12</f>
        <v>197.6547060780923</v>
      </c>
      <c r="Q239" s="25">
        <f>IF(N239&lt;=0.005,0,MIN(N239,O239-P239))</f>
        <v>550.9930212106981</v>
      </c>
      <c r="R239" s="25">
        <f>MAX(0,N239-Q239)</f>
        <v>81237.16121799989</v>
      </c>
    </row>
    <row r="240" spans="2:18" ht="18" customHeight="1">
      <c r="B240" s="21">
        <f>ROW()-5</f>
        <v>235</v>
      </c>
      <c r="C240" s="22">
        <f>EDATE(Hipoteca!$C$7,B240-1)</f>
        <v>53448.0</v>
      </c>
      <c r="D240" s="23">
        <f>IFERROR(LOOKUP(2,1/((Hipoteca!$E$4:$E$9&lt;&gt;"")*(Hipoteca!$E$4:$E$9&lt;=C240)),Hipoteca!$F$4:$F$9),Hipoteca!$C$6)</f>
        <v>0.029</v>
      </c>
      <c r="E240" s="24">
        <f>J239</f>
        <v>56699.90013336942</v>
      </c>
      <c r="F240" s="24">
        <f>IF(E240&lt;=0.005,0,MIN(E240*(1+D240/12),IF(OR(Hipoteca!$C$8="Reducir cuota",D240&lt;&gt;D239),PMT(D240/12,K240,-E240),F239)))</f>
        <v>746.6003367545769</v>
      </c>
      <c r="G240" s="24">
        <f>E240*D240/12</f>
        <v>137.02475865564278</v>
      </c>
      <c r="H240" s="24">
        <f>IF(E240&lt;=0.005,0,MIN(E240,F240-G240))</f>
        <v>609.5755780989341</v>
      </c>
      <c r="I240" s="24">
        <f>MIN(E240-H240,SUMPRODUCT((YEAR(Hipoteca!$H$4:$H$15)=YEAR(C240))*(MONTH(Hipoteca!$H$4:$H$15)=MONTH(C240))*(Hipoteca!$H$4:$H$15&lt;&gt;"")*Hipoteca!$I$4:$I$15))</f>
        <v>0</v>
      </c>
      <c r="J240" s="24">
        <f>MAX(0,E240-H240-I240)</f>
        <v>56090.32455527048</v>
      </c>
      <c r="K240" s="21">
        <f>IF(E240&lt;=0.005,0,IF(Hipoteca!$C$8="Reducir cuota",$K$6-(B240-1),IFERROR(MAX(1,ROUNDUP(NPER(D239/12,-F239,E240),0)),$K$6-(B240-1))))</f>
        <v>85</v>
      </c>
      <c r="L240" s="21">
        <f>YEAR(C240)</f>
        <v>2046</v>
      </c>
      <c r="N240" s="25">
        <f>R239</f>
        <v>81237.16121799989</v>
      </c>
      <c r="O240" s="25">
        <f>IF(N240&lt;=0.005,0,IF(D240&lt;&gt;D239,PMT(D240/12,Hipoteca!$C$5*12-(B240-1),-N240),O239))</f>
        <v>748.6477272887904</v>
      </c>
      <c r="P240" s="25">
        <f>N240*D240/12</f>
        <v>196.3231396101664</v>
      </c>
      <c r="Q240" s="25">
        <f>IF(N240&lt;=0.005,0,MIN(N240,O240-P240))</f>
        <v>552.324587678624</v>
      </c>
      <c r="R240" s="25">
        <f>MAX(0,N240-Q240)</f>
        <v>80684.83663032127</v>
      </c>
    </row>
    <row r="241" spans="2:18" ht="18" customHeight="1">
      <c r="B241" s="21">
        <f>ROW()-5</f>
        <v>236</v>
      </c>
      <c r="C241" s="22">
        <f>EDATE(Hipoteca!$C$7,B241-1)</f>
        <v>53479.0</v>
      </c>
      <c r="D241" s="23">
        <f>IFERROR(LOOKUP(2,1/((Hipoteca!$E$4:$E$9&lt;&gt;"")*(Hipoteca!$E$4:$E$9&lt;=C241)),Hipoteca!$F$4:$F$9),Hipoteca!$C$6)</f>
        <v>0.029</v>
      </c>
      <c r="E241" s="24">
        <f>J240</f>
        <v>56090.32455527048</v>
      </c>
      <c r="F241" s="24">
        <f>IF(E241&lt;=0.005,0,MIN(E241*(1+D241/12),IF(OR(Hipoteca!$C$8="Reducir cuota",D241&lt;&gt;D240),PMT(D241/12,K241,-E241),F240)))</f>
        <v>746.6003367545769</v>
      </c>
      <c r="G241" s="24">
        <f>E241*D241/12</f>
        <v>135.551617675237</v>
      </c>
      <c r="H241" s="24">
        <f>IF(E241&lt;=0.005,0,MIN(E241,F241-G241))</f>
        <v>611.0487190793399</v>
      </c>
      <c r="I241" s="24">
        <f>MIN(E241-H241,SUMPRODUCT((YEAR(Hipoteca!$H$4:$H$15)=YEAR(C241))*(MONTH(Hipoteca!$H$4:$H$15)=MONTH(C241))*(Hipoteca!$H$4:$H$15&lt;&gt;"")*Hipoteca!$I$4:$I$15))</f>
        <v>0</v>
      </c>
      <c r="J241" s="24">
        <f>MAX(0,E241-H241-I241)</f>
        <v>55479.27583619114</v>
      </c>
      <c r="K241" s="21">
        <f>IF(E241&lt;=0.005,0,IF(Hipoteca!$C$8="Reducir cuota",$K$6-(B241-1),IFERROR(MAX(1,ROUNDUP(NPER(D240/12,-F240,E241),0)),$K$6-(B241-1))))</f>
        <v>84</v>
      </c>
      <c r="L241" s="21">
        <f>YEAR(C241)</f>
        <v>2046</v>
      </c>
      <c r="N241" s="25">
        <f>R240</f>
        <v>80684.83663032127</v>
      </c>
      <c r="O241" s="25">
        <f>IF(N241&lt;=0.005,0,IF(D241&lt;&gt;D240,PMT(D241/12,Hipoteca!$C$5*12-(B241-1),-N241),O240))</f>
        <v>748.6477272887904</v>
      </c>
      <c r="P241" s="25">
        <f>N241*D241/12</f>
        <v>194.98835518994306</v>
      </c>
      <c r="Q241" s="25">
        <f>IF(N241&lt;=0.005,0,MIN(N241,O241-P241))</f>
        <v>553.6593720988474</v>
      </c>
      <c r="R241" s="25">
        <f>MAX(0,N241-Q241)</f>
        <v>80131.17725822242</v>
      </c>
    </row>
    <row r="242" spans="2:18" ht="18" customHeight="1">
      <c r="B242" s="21">
        <f>ROW()-5</f>
        <v>237</v>
      </c>
      <c r="C242" s="22">
        <f>EDATE(Hipoteca!$C$7,B242-1)</f>
        <v>53509.0</v>
      </c>
      <c r="D242" s="23">
        <f>IFERROR(LOOKUP(2,1/((Hipoteca!$E$4:$E$9&lt;&gt;"")*(Hipoteca!$E$4:$E$9&lt;=C242)),Hipoteca!$F$4:$F$9),Hipoteca!$C$6)</f>
        <v>0.029</v>
      </c>
      <c r="E242" s="24">
        <f>J241</f>
        <v>55479.27583619114</v>
      </c>
      <c r="F242" s="24">
        <f>IF(E242&lt;=0.005,0,MIN(E242*(1+D242/12),IF(OR(Hipoteca!$C$8="Reducir cuota",D242&lt;&gt;D241),PMT(D242/12,K242,-E242),F241)))</f>
        <v>746.6003367545769</v>
      </c>
      <c r="G242" s="24">
        <f>E242*D242/12</f>
        <v>134.0749166041286</v>
      </c>
      <c r="H242" s="24">
        <f>IF(E242&lt;=0.005,0,MIN(E242,F242-G242))</f>
        <v>612.5254201504483</v>
      </c>
      <c r="I242" s="24">
        <f>MIN(E242-H242,SUMPRODUCT((YEAR(Hipoteca!$H$4:$H$15)=YEAR(C242))*(MONTH(Hipoteca!$H$4:$H$15)=MONTH(C242))*(Hipoteca!$H$4:$H$15&lt;&gt;"")*Hipoteca!$I$4:$I$15))</f>
        <v>0</v>
      </c>
      <c r="J242" s="24">
        <f>MAX(0,E242-H242-I242)</f>
        <v>54866.75041604069</v>
      </c>
      <c r="K242" s="21">
        <f>IF(E242&lt;=0.005,0,IF(Hipoteca!$C$8="Reducir cuota",$K$6-(B242-1),IFERROR(MAX(1,ROUNDUP(NPER(D241/12,-F241,E242),0)),$K$6-(B242-1))))</f>
        <v>83</v>
      </c>
      <c r="L242" s="21">
        <f>YEAR(C242)</f>
        <v>2046</v>
      </c>
      <c r="N242" s="25">
        <f>R241</f>
        <v>80131.17725822242</v>
      </c>
      <c r="O242" s="25">
        <f>IF(N242&lt;=0.005,0,IF(D242&lt;&gt;D241,PMT(D242/12,Hipoteca!$C$5*12-(B242-1),-N242),O241))</f>
        <v>748.6477272887904</v>
      </c>
      <c r="P242" s="25">
        <f>N242*D242/12</f>
        <v>193.6503450407042</v>
      </c>
      <c r="Q242" s="25">
        <f>IF(N242&lt;=0.005,0,MIN(N242,O242-P242))</f>
        <v>554.9973822480862</v>
      </c>
      <c r="R242" s="25">
        <f>MAX(0,N242-Q242)</f>
        <v>79576.17987597434</v>
      </c>
    </row>
    <row r="243" spans="2:18" ht="18" customHeight="1">
      <c r="B243" s="21">
        <f>ROW()-5</f>
        <v>238</v>
      </c>
      <c r="C243" s="22">
        <f>EDATE(Hipoteca!$C$7,B243-1)</f>
        <v>53540.0</v>
      </c>
      <c r="D243" s="23">
        <f>IFERROR(LOOKUP(2,1/((Hipoteca!$E$4:$E$9&lt;&gt;"")*(Hipoteca!$E$4:$E$9&lt;=C243)),Hipoteca!$F$4:$F$9),Hipoteca!$C$6)</f>
        <v>0.029</v>
      </c>
      <c r="E243" s="24">
        <f>J242</f>
        <v>54866.75041604069</v>
      </c>
      <c r="F243" s="24">
        <f>IF(E243&lt;=0.005,0,MIN(E243*(1+D243/12),IF(OR(Hipoteca!$C$8="Reducir cuota",D243&lt;&gt;D242),PMT(D243/12,K243,-E243),F242)))</f>
        <v>746.6003367545769</v>
      </c>
      <c r="G243" s="24">
        <f>E243*D243/12</f>
        <v>132.59464683876502</v>
      </c>
      <c r="H243" s="24">
        <f>IF(E243&lt;=0.005,0,MIN(E243,F243-G243))</f>
        <v>614.0056899158119</v>
      </c>
      <c r="I243" s="24">
        <f>MIN(E243-H243,SUMPRODUCT((YEAR(Hipoteca!$H$4:$H$15)=YEAR(C243))*(MONTH(Hipoteca!$H$4:$H$15)=MONTH(C243))*(Hipoteca!$H$4:$H$15&lt;&gt;"")*Hipoteca!$I$4:$I$15))</f>
        <v>0</v>
      </c>
      <c r="J243" s="24">
        <f>MAX(0,E243-H243-I243)</f>
        <v>54252.744726124874</v>
      </c>
      <c r="K243" s="21">
        <f>IF(E243&lt;=0.005,0,IF(Hipoteca!$C$8="Reducir cuota",$K$6-(B243-1),IFERROR(MAX(1,ROUNDUP(NPER(D242/12,-F242,E243),0)),$K$6-(B243-1))))</f>
        <v>82</v>
      </c>
      <c r="L243" s="21">
        <f>YEAR(C243)</f>
        <v>2046</v>
      </c>
      <c r="N243" s="25">
        <f>R242</f>
        <v>79576.17987597434</v>
      </c>
      <c r="O243" s="25">
        <f>IF(N243&lt;=0.005,0,IF(D243&lt;&gt;D242,PMT(D243/12,Hipoteca!$C$5*12-(B243-1),-N243),O242))</f>
        <v>748.6477272887904</v>
      </c>
      <c r="P243" s="25">
        <f>N243*D243/12</f>
        <v>192.309101366938</v>
      </c>
      <c r="Q243" s="25">
        <f>IF(N243&lt;=0.005,0,MIN(N243,O243-P243))</f>
        <v>556.3386259218524</v>
      </c>
      <c r="R243" s="25">
        <f>MAX(0,N243-Q243)</f>
        <v>79019.84125005249</v>
      </c>
    </row>
    <row r="244" spans="2:18" ht="18" customHeight="1">
      <c r="B244" s="21">
        <f>ROW()-5</f>
        <v>239</v>
      </c>
      <c r="C244" s="22">
        <f>EDATE(Hipoteca!$C$7,B244-1)</f>
        <v>53571.0</v>
      </c>
      <c r="D244" s="23">
        <f>IFERROR(LOOKUP(2,1/((Hipoteca!$E$4:$E$9&lt;&gt;"")*(Hipoteca!$E$4:$E$9&lt;=C244)),Hipoteca!$F$4:$F$9),Hipoteca!$C$6)</f>
        <v>0.029</v>
      </c>
      <c r="E244" s="24">
        <f>J243</f>
        <v>54252.744726124874</v>
      </c>
      <c r="F244" s="24">
        <f>IF(E244&lt;=0.005,0,MIN(E244*(1+D244/12),IF(OR(Hipoteca!$C$8="Reducir cuota",D244&lt;&gt;D243),PMT(D244/12,K244,-E244),F243)))</f>
        <v>746.6003367545769</v>
      </c>
      <c r="G244" s="24">
        <f>E244*D244/12</f>
        <v>131.11079975480177</v>
      </c>
      <c r="H244" s="24">
        <f>IF(E244&lt;=0.005,0,MIN(E244,F244-G244))</f>
        <v>615.4895369997752</v>
      </c>
      <c r="I244" s="24">
        <f>MIN(E244-H244,SUMPRODUCT((YEAR(Hipoteca!$H$4:$H$15)=YEAR(C244))*(MONTH(Hipoteca!$H$4:$H$15)=MONTH(C244))*(Hipoteca!$H$4:$H$15&lt;&gt;"")*Hipoteca!$I$4:$I$15))</f>
        <v>0</v>
      </c>
      <c r="J244" s="24">
        <f>MAX(0,E244-H244-I244)</f>
        <v>53637.2551891251</v>
      </c>
      <c r="K244" s="21">
        <f>IF(E244&lt;=0.005,0,IF(Hipoteca!$C$8="Reducir cuota",$K$6-(B244-1),IFERROR(MAX(1,ROUNDUP(NPER(D243/12,-F243,E244),0)),$K$6-(B244-1))))</f>
        <v>81</v>
      </c>
      <c r="L244" s="21">
        <f>YEAR(C244)</f>
        <v>2046</v>
      </c>
      <c r="N244" s="25">
        <f>R243</f>
        <v>79019.84125005249</v>
      </c>
      <c r="O244" s="25">
        <f>IF(N244&lt;=0.005,0,IF(D244&lt;&gt;D243,PMT(D244/12,Hipoteca!$C$5*12-(B244-1),-N244),O243))</f>
        <v>748.6477272887904</v>
      </c>
      <c r="P244" s="25">
        <f>N244*D244/12</f>
        <v>190.96461635429353</v>
      </c>
      <c r="Q244" s="25">
        <f>IF(N244&lt;=0.005,0,MIN(N244,O244-P244))</f>
        <v>557.6831109344969</v>
      </c>
      <c r="R244" s="25">
        <f>MAX(0,N244-Q244)</f>
        <v>78462.158139118</v>
      </c>
    </row>
    <row r="245" spans="2:18" ht="18" customHeight="1">
      <c r="B245" s="21">
        <f>ROW()-5</f>
        <v>240</v>
      </c>
      <c r="C245" s="22">
        <f>EDATE(Hipoteca!$C$7,B245-1)</f>
        <v>53601.0</v>
      </c>
      <c r="D245" s="23">
        <f>IFERROR(LOOKUP(2,1/((Hipoteca!$E$4:$E$9&lt;&gt;"")*(Hipoteca!$E$4:$E$9&lt;=C245)),Hipoteca!$F$4:$F$9),Hipoteca!$C$6)</f>
        <v>0.029</v>
      </c>
      <c r="E245" s="24">
        <f>J244</f>
        <v>53637.2551891251</v>
      </c>
      <c r="F245" s="24">
        <f>IF(E245&lt;=0.005,0,MIN(E245*(1+D245/12),IF(OR(Hipoteca!$C$8="Reducir cuota",D245&lt;&gt;D244),PMT(D245/12,K245,-E245),F244)))</f>
        <v>746.6003367545769</v>
      </c>
      <c r="G245" s="24">
        <f>E245*D245/12</f>
        <v>129.62336670705233</v>
      </c>
      <c r="H245" s="24">
        <f>IF(E245&lt;=0.005,0,MIN(E245,F245-G245))</f>
        <v>616.9769700475246</v>
      </c>
      <c r="I245" s="24">
        <f>MIN(E245-H245,SUMPRODUCT((YEAR(Hipoteca!$H$4:$H$15)=YEAR(C245))*(MONTH(Hipoteca!$H$4:$H$15)=MONTH(C245))*(Hipoteca!$H$4:$H$15&lt;&gt;"")*Hipoteca!$I$4:$I$15))</f>
        <v>0</v>
      </c>
      <c r="J245" s="24">
        <f>MAX(0,E245-H245-I245)</f>
        <v>53020.278219077576</v>
      </c>
      <c r="K245" s="21">
        <f>IF(E245&lt;=0.005,0,IF(Hipoteca!$C$8="Reducir cuota",$K$6-(B245-1),IFERROR(MAX(1,ROUNDUP(NPER(D244/12,-F244,E245),0)),$K$6-(B245-1))))</f>
        <v>80</v>
      </c>
      <c r="L245" s="21">
        <f>YEAR(C245)</f>
        <v>2046</v>
      </c>
      <c r="N245" s="25">
        <f>R244</f>
        <v>78462.158139118</v>
      </c>
      <c r="O245" s="25">
        <f>IF(N245&lt;=0.005,0,IF(D245&lt;&gt;D244,PMT(D245/12,Hipoteca!$C$5*12-(B245-1),-N245),O244))</f>
        <v>748.6477272887904</v>
      </c>
      <c r="P245" s="25">
        <f>N245*D245/12</f>
        <v>189.61688216953516</v>
      </c>
      <c r="Q245" s="25">
        <f>IF(N245&lt;=0.005,0,MIN(N245,O245-P245))</f>
        <v>559.0308451192552</v>
      </c>
      <c r="R245" s="25">
        <f>MAX(0,N245-Q245)</f>
        <v>77903.12729399874</v>
      </c>
    </row>
    <row r="246" spans="2:18" ht="18" customHeight="1">
      <c r="B246" s="21">
        <f>ROW()-5</f>
        <v>241</v>
      </c>
      <c r="C246" s="22">
        <f>EDATE(Hipoteca!$C$7,B246-1)</f>
        <v>53632.0</v>
      </c>
      <c r="D246" s="23">
        <f>IFERROR(LOOKUP(2,1/((Hipoteca!$E$4:$E$9&lt;&gt;"")*(Hipoteca!$E$4:$E$9&lt;=C246)),Hipoteca!$F$4:$F$9),Hipoteca!$C$6)</f>
        <v>0.029</v>
      </c>
      <c r="E246" s="24">
        <f>J245</f>
        <v>53020.278219077576</v>
      </c>
      <c r="F246" s="24">
        <f>IF(E246&lt;=0.005,0,MIN(E246*(1+D246/12),IF(OR(Hipoteca!$C$8="Reducir cuota",D246&lt;&gt;D245),PMT(D246/12,K246,-E246),F245)))</f>
        <v>746.6003367545769</v>
      </c>
      <c r="G246" s="24">
        <f>E246*D246/12</f>
        <v>128.13233902943747</v>
      </c>
      <c r="H246" s="24">
        <f>IF(E246&lt;=0.005,0,MIN(E246,F246-G246))</f>
        <v>618.4679977251394</v>
      </c>
      <c r="I246" s="24">
        <f>MIN(E246-H246,SUMPRODUCT((YEAR(Hipoteca!$H$4:$H$15)=YEAR(C246))*(MONTH(Hipoteca!$H$4:$H$15)=MONTH(C246))*(Hipoteca!$H$4:$H$15&lt;&gt;"")*Hipoteca!$I$4:$I$15))</f>
        <v>0</v>
      </c>
      <c r="J246" s="24">
        <f>MAX(0,E246-H246-I246)</f>
        <v>52401.81022135244</v>
      </c>
      <c r="K246" s="21">
        <f>IF(E246&lt;=0.005,0,IF(Hipoteca!$C$8="Reducir cuota",$K$6-(B246-1),IFERROR(MAX(1,ROUNDUP(NPER(D245/12,-F245,E246),0)),$K$6-(B246-1))))</f>
        <v>79</v>
      </c>
      <c r="L246" s="21">
        <f>YEAR(C246)</f>
        <v>2046</v>
      </c>
      <c r="N246" s="25">
        <f>R245</f>
        <v>77903.12729399874</v>
      </c>
      <c r="O246" s="25">
        <f>IF(N246&lt;=0.005,0,IF(D246&lt;&gt;D245,PMT(D246/12,Hipoteca!$C$5*12-(B246-1),-N246),O245))</f>
        <v>748.6477272887904</v>
      </c>
      <c r="P246" s="25">
        <f>N246*D246/12</f>
        <v>188.265890960497</v>
      </c>
      <c r="Q246" s="25">
        <f>IF(N246&lt;=0.005,0,MIN(N246,O246-P246))</f>
        <v>560.3818363282934</v>
      </c>
      <c r="R246" s="25">
        <f>MAX(0,N246-Q246)</f>
        <v>77342.74545767045</v>
      </c>
    </row>
    <row r="247" spans="2:18" ht="18" customHeight="1">
      <c r="B247" s="21">
        <f>ROW()-5</f>
        <v>242</v>
      </c>
      <c r="C247" s="22">
        <f>EDATE(Hipoteca!$C$7,B247-1)</f>
        <v>53662.0</v>
      </c>
      <c r="D247" s="23">
        <f>IFERROR(LOOKUP(2,1/((Hipoteca!$E$4:$E$9&lt;&gt;"")*(Hipoteca!$E$4:$E$9&lt;=C247)),Hipoteca!$F$4:$F$9),Hipoteca!$C$6)</f>
        <v>0.029</v>
      </c>
      <c r="E247" s="24">
        <f>J246</f>
        <v>52401.81022135244</v>
      </c>
      <c r="F247" s="24">
        <f>IF(E247&lt;=0.005,0,MIN(E247*(1+D247/12),IF(OR(Hipoteca!$C$8="Reducir cuota",D247&lt;&gt;D246),PMT(D247/12,K247,-E247),F246)))</f>
        <v>746.6003367545769</v>
      </c>
      <c r="G247" s="24">
        <f>E247*D247/12</f>
        <v>126.63770803493507</v>
      </c>
      <c r="H247" s="24">
        <f>IF(E247&lt;=0.005,0,MIN(E247,F247-G247))</f>
        <v>619.9626287196419</v>
      </c>
      <c r="I247" s="24">
        <f>MIN(E247-H247,SUMPRODUCT((YEAR(Hipoteca!$H$4:$H$15)=YEAR(C247))*(MONTH(Hipoteca!$H$4:$H$15)=MONTH(C247))*(Hipoteca!$H$4:$H$15&lt;&gt;"")*Hipoteca!$I$4:$I$15))</f>
        <v>0</v>
      </c>
      <c r="J247" s="24">
        <f>MAX(0,E247-H247-I247)</f>
        <v>51781.847592632796</v>
      </c>
      <c r="K247" s="21">
        <f>IF(E247&lt;=0.005,0,IF(Hipoteca!$C$8="Reducir cuota",$K$6-(B247-1),IFERROR(MAX(1,ROUNDUP(NPER(D246/12,-F246,E247),0)),$K$6-(B247-1))))</f>
        <v>78</v>
      </c>
      <c r="L247" s="21">
        <f>YEAR(C247)</f>
        <v>2046</v>
      </c>
      <c r="N247" s="25">
        <f>R246</f>
        <v>77342.74545767045</v>
      </c>
      <c r="O247" s="25">
        <f>IF(N247&lt;=0.005,0,IF(D247&lt;&gt;D246,PMT(D247/12,Hipoteca!$C$5*12-(B247-1),-N247),O246))</f>
        <v>748.6477272887904</v>
      </c>
      <c r="P247" s="25">
        <f>N247*D247/12</f>
        <v>186.91163485603693</v>
      </c>
      <c r="Q247" s="25">
        <f>IF(N247&lt;=0.005,0,MIN(N247,O247-P247))</f>
        <v>561.7360924327535</v>
      </c>
      <c r="R247" s="25">
        <f>MAX(0,N247-Q247)</f>
        <v>76781.0093652377</v>
      </c>
    </row>
    <row r="248" spans="2:18" ht="18" customHeight="1">
      <c r="B248" s="21">
        <f>ROW()-5</f>
        <v>243</v>
      </c>
      <c r="C248" s="22">
        <f>EDATE(Hipoteca!$C$7,B248-1)</f>
        <v>53693.0</v>
      </c>
      <c r="D248" s="23">
        <f>IFERROR(LOOKUP(2,1/((Hipoteca!$E$4:$E$9&lt;&gt;"")*(Hipoteca!$E$4:$E$9&lt;=C248)),Hipoteca!$F$4:$F$9),Hipoteca!$C$6)</f>
        <v>0.029</v>
      </c>
      <c r="E248" s="24">
        <f>J247</f>
        <v>51781.847592632796</v>
      </c>
      <c r="F248" s="24">
        <f>IF(E248&lt;=0.005,0,MIN(E248*(1+D248/12),IF(OR(Hipoteca!$C$8="Reducir cuota",D248&lt;&gt;D247),PMT(D248/12,K248,-E248),F247)))</f>
        <v>746.6003367545769</v>
      </c>
      <c r="G248" s="24">
        <f>E248*D248/12</f>
        <v>125.13946501552925</v>
      </c>
      <c r="H248" s="24">
        <f>IF(E248&lt;=0.005,0,MIN(E248,F248-G248))</f>
        <v>621.4608717390477</v>
      </c>
      <c r="I248" s="24">
        <f>MIN(E248-H248,SUMPRODUCT((YEAR(Hipoteca!$H$4:$H$15)=YEAR(C248))*(MONTH(Hipoteca!$H$4:$H$15)=MONTH(C248))*(Hipoteca!$H$4:$H$15&lt;&gt;"")*Hipoteca!$I$4:$I$15))</f>
        <v>0</v>
      </c>
      <c r="J248" s="24">
        <f>MAX(0,E248-H248-I248)</f>
        <v>51160.386720893744</v>
      </c>
      <c r="K248" s="21">
        <f>IF(E248&lt;=0.005,0,IF(Hipoteca!$C$8="Reducir cuota",$K$6-(B248-1),IFERROR(MAX(1,ROUNDUP(NPER(D247/12,-F247,E248),0)),$K$6-(B248-1))))</f>
        <v>77</v>
      </c>
      <c r="L248" s="21">
        <f>YEAR(C248)</f>
        <v>2047</v>
      </c>
      <c r="N248" s="25">
        <f>R247</f>
        <v>76781.0093652377</v>
      </c>
      <c r="O248" s="25">
        <f>IF(N248&lt;=0.005,0,IF(D248&lt;&gt;D247,PMT(D248/12,Hipoteca!$C$5*12-(B248-1),-N248),O247))</f>
        <v>748.6477272887904</v>
      </c>
      <c r="P248" s="25">
        <f>N248*D248/12</f>
        <v>185.5541059659911</v>
      </c>
      <c r="Q248" s="25">
        <f>IF(N248&lt;=0.005,0,MIN(N248,O248-P248))</f>
        <v>563.0936213227993</v>
      </c>
      <c r="R248" s="25">
        <f>MAX(0,N248-Q248)</f>
        <v>76217.9157439149</v>
      </c>
    </row>
    <row r="249" spans="2:18" ht="18" customHeight="1">
      <c r="B249" s="21">
        <f>ROW()-5</f>
        <v>244</v>
      </c>
      <c r="C249" s="22">
        <f>EDATE(Hipoteca!$C$7,B249-1)</f>
        <v>53724.0</v>
      </c>
      <c r="D249" s="23">
        <f>IFERROR(LOOKUP(2,1/((Hipoteca!$E$4:$E$9&lt;&gt;"")*(Hipoteca!$E$4:$E$9&lt;=C249)),Hipoteca!$F$4:$F$9),Hipoteca!$C$6)</f>
        <v>0.029</v>
      </c>
      <c r="E249" s="24">
        <f>J248</f>
        <v>51160.386720893744</v>
      </c>
      <c r="F249" s="24">
        <f>IF(E249&lt;=0.005,0,MIN(E249*(1+D249/12),IF(OR(Hipoteca!$C$8="Reducir cuota",D249&lt;&gt;D248),PMT(D249/12,K249,-E249),F248)))</f>
        <v>746.6003367545769</v>
      </c>
      <c r="G249" s="24">
        <f>E249*D249/12</f>
        <v>123.6376012421599</v>
      </c>
      <c r="H249" s="24">
        <f>IF(E249&lt;=0.005,0,MIN(E249,F249-G249))</f>
        <v>622.962735512417</v>
      </c>
      <c r="I249" s="24">
        <f>MIN(E249-H249,SUMPRODUCT((YEAR(Hipoteca!$H$4:$H$15)=YEAR(C249))*(MONTH(Hipoteca!$H$4:$H$15)=MONTH(C249))*(Hipoteca!$H$4:$H$15&lt;&gt;"")*Hipoteca!$I$4:$I$15))</f>
        <v>0</v>
      </c>
      <c r="J249" s="24">
        <f>MAX(0,E249-H249-I249)</f>
        <v>50537.42398538133</v>
      </c>
      <c r="K249" s="21">
        <f>IF(E249&lt;=0.005,0,IF(Hipoteca!$C$8="Reducir cuota",$K$6-(B249-1),IFERROR(MAX(1,ROUNDUP(NPER(D248/12,-F248,E249),0)),$K$6-(B249-1))))</f>
        <v>76</v>
      </c>
      <c r="L249" s="21">
        <f>YEAR(C249)</f>
        <v>2047</v>
      </c>
      <c r="N249" s="25">
        <f>R248</f>
        <v>76217.9157439149</v>
      </c>
      <c r="O249" s="25">
        <f>IF(N249&lt;=0.005,0,IF(D249&lt;&gt;D248,PMT(D249/12,Hipoteca!$C$5*12-(B249-1),-N249),O248))</f>
        <v>748.6477272887904</v>
      </c>
      <c r="P249" s="25">
        <f>N249*D249/12</f>
        <v>184.19329638112768</v>
      </c>
      <c r="Q249" s="25">
        <f>IF(N249&lt;=0.005,0,MIN(N249,O249-P249))</f>
        <v>564.4544309076628</v>
      </c>
      <c r="R249" s="25">
        <f>MAX(0,N249-Q249)</f>
        <v>75653.46131300724</v>
      </c>
    </row>
    <row r="250" spans="2:18" ht="18" customHeight="1">
      <c r="B250" s="21">
        <f>ROW()-5</f>
        <v>245</v>
      </c>
      <c r="C250" s="22">
        <f>EDATE(Hipoteca!$C$7,B250-1)</f>
        <v>53752.0</v>
      </c>
      <c r="D250" s="23">
        <f>IFERROR(LOOKUP(2,1/((Hipoteca!$E$4:$E$9&lt;&gt;"")*(Hipoteca!$E$4:$E$9&lt;=C250)),Hipoteca!$F$4:$F$9),Hipoteca!$C$6)</f>
        <v>0.029</v>
      </c>
      <c r="E250" s="24">
        <f>J249</f>
        <v>50537.42398538133</v>
      </c>
      <c r="F250" s="24">
        <f>IF(E250&lt;=0.005,0,MIN(E250*(1+D250/12),IF(OR(Hipoteca!$C$8="Reducir cuota",D250&lt;&gt;D249),PMT(D250/12,K250,-E250),F249)))</f>
        <v>746.6003367545769</v>
      </c>
      <c r="G250" s="24">
        <f>E250*D250/12</f>
        <v>122.13210796467155</v>
      </c>
      <c r="H250" s="24">
        <f>IF(E250&lt;=0.005,0,MIN(E250,F250-G250))</f>
        <v>624.4682287899054</v>
      </c>
      <c r="I250" s="24">
        <f>MIN(E250-H250,SUMPRODUCT((YEAR(Hipoteca!$H$4:$H$15)=YEAR(C250))*(MONTH(Hipoteca!$H$4:$H$15)=MONTH(C250))*(Hipoteca!$H$4:$H$15&lt;&gt;"")*Hipoteca!$I$4:$I$15))</f>
        <v>0</v>
      </c>
      <c r="J250" s="24">
        <f>MAX(0,E250-H250-I250)</f>
        <v>49912.95575659142</v>
      </c>
      <c r="K250" s="21">
        <f>IF(E250&lt;=0.005,0,IF(Hipoteca!$C$8="Reducir cuota",$K$6-(B250-1),IFERROR(MAX(1,ROUNDUP(NPER(D249/12,-F249,E250),0)),$K$6-(B250-1))))</f>
        <v>75</v>
      </c>
      <c r="L250" s="21">
        <f>YEAR(C250)</f>
        <v>2047</v>
      </c>
      <c r="N250" s="25">
        <f>R249</f>
        <v>75653.46131300724</v>
      </c>
      <c r="O250" s="25">
        <f>IF(N250&lt;=0.005,0,IF(D250&lt;&gt;D249,PMT(D250/12,Hipoteca!$C$5*12-(B250-1),-N250),O249))</f>
        <v>748.6477272887904</v>
      </c>
      <c r="P250" s="25">
        <f>N250*D250/12</f>
        <v>182.82919817310085</v>
      </c>
      <c r="Q250" s="25">
        <f>IF(N250&lt;=0.005,0,MIN(N250,O250-P250))</f>
        <v>565.8185291156896</v>
      </c>
      <c r="R250" s="25">
        <f>MAX(0,N250-Q250)</f>
        <v>75087.64278389156</v>
      </c>
    </row>
    <row r="251" spans="2:18" ht="18" customHeight="1">
      <c r="B251" s="21">
        <f>ROW()-5</f>
        <v>246</v>
      </c>
      <c r="C251" s="22">
        <f>EDATE(Hipoteca!$C$7,B251-1)</f>
        <v>53783.0</v>
      </c>
      <c r="D251" s="23">
        <f>IFERROR(LOOKUP(2,1/((Hipoteca!$E$4:$E$9&lt;&gt;"")*(Hipoteca!$E$4:$E$9&lt;=C251)),Hipoteca!$F$4:$F$9),Hipoteca!$C$6)</f>
        <v>0.029</v>
      </c>
      <c r="E251" s="24">
        <f>J250</f>
        <v>49912.95575659142</v>
      </c>
      <c r="F251" s="24">
        <f>IF(E251&lt;=0.005,0,MIN(E251*(1+D251/12),IF(OR(Hipoteca!$C$8="Reducir cuota",D251&lt;&gt;D250),PMT(D251/12,K251,-E251),F250)))</f>
        <v>746.6003367545769</v>
      </c>
      <c r="G251" s="24">
        <f>E251*D251/12</f>
        <v>120.62297641176262</v>
      </c>
      <c r="H251" s="24">
        <f>IF(E251&lt;=0.005,0,MIN(E251,F251-G251))</f>
        <v>625.9773603428143</v>
      </c>
      <c r="I251" s="24">
        <f>MIN(E251-H251,SUMPRODUCT((YEAR(Hipoteca!$H$4:$H$15)=YEAR(C251))*(MONTH(Hipoteca!$H$4:$H$15)=MONTH(C251))*(Hipoteca!$H$4:$H$15&lt;&gt;"")*Hipoteca!$I$4:$I$15))</f>
        <v>0</v>
      </c>
      <c r="J251" s="24">
        <f>MAX(0,E251-H251-I251)</f>
        <v>49286.97839624861</v>
      </c>
      <c r="K251" s="21">
        <f>IF(E251&lt;=0.005,0,IF(Hipoteca!$C$8="Reducir cuota",$K$6-(B251-1),IFERROR(MAX(1,ROUNDUP(NPER(D250/12,-F250,E251),0)),$K$6-(B251-1))))</f>
        <v>74</v>
      </c>
      <c r="L251" s="21">
        <f>YEAR(C251)</f>
        <v>2047</v>
      </c>
      <c r="N251" s="25">
        <f>R250</f>
        <v>75087.64278389156</v>
      </c>
      <c r="O251" s="25">
        <f>IF(N251&lt;=0.005,0,IF(D251&lt;&gt;D250,PMT(D251/12,Hipoteca!$C$5*12-(B251-1),-N251),O250))</f>
        <v>748.6477272887904</v>
      </c>
      <c r="P251" s="25">
        <f>N251*D251/12</f>
        <v>181.4618033944046</v>
      </c>
      <c r="Q251" s="25">
        <f>IF(N251&lt;=0.005,0,MIN(N251,O251-P251))</f>
        <v>567.1859238943858</v>
      </c>
      <c r="R251" s="25">
        <f>MAX(0,N251-Q251)</f>
        <v>74520.45685999717</v>
      </c>
    </row>
    <row r="252" spans="2:18" ht="18" customHeight="1">
      <c r="B252" s="21">
        <f>ROW()-5</f>
        <v>247</v>
      </c>
      <c r="C252" s="22">
        <f>EDATE(Hipoteca!$C$7,B252-1)</f>
        <v>53813.0</v>
      </c>
      <c r="D252" s="23">
        <f>IFERROR(LOOKUP(2,1/((Hipoteca!$E$4:$E$9&lt;&gt;"")*(Hipoteca!$E$4:$E$9&lt;=C252)),Hipoteca!$F$4:$F$9),Hipoteca!$C$6)</f>
        <v>0.029</v>
      </c>
      <c r="E252" s="24">
        <f>J251</f>
        <v>49286.97839624861</v>
      </c>
      <c r="F252" s="24">
        <f>IF(E252&lt;=0.005,0,MIN(E252*(1+D252/12),IF(OR(Hipoteca!$C$8="Reducir cuota",D252&lt;&gt;D251),PMT(D252/12,K252,-E252),F251)))</f>
        <v>746.6003367545769</v>
      </c>
      <c r="G252" s="24">
        <f>E252*D252/12</f>
        <v>119.11019779093415</v>
      </c>
      <c r="H252" s="24">
        <f>IF(E252&lt;=0.005,0,MIN(E252,F252-G252))</f>
        <v>627.4901389636427</v>
      </c>
      <c r="I252" s="24">
        <f>MIN(E252-H252,SUMPRODUCT((YEAR(Hipoteca!$H$4:$H$15)=YEAR(C252))*(MONTH(Hipoteca!$H$4:$H$15)=MONTH(C252))*(Hipoteca!$H$4:$H$15&lt;&gt;"")*Hipoteca!$I$4:$I$15))</f>
        <v>0</v>
      </c>
      <c r="J252" s="24">
        <f>MAX(0,E252-H252-I252)</f>
        <v>48659.48825728497</v>
      </c>
      <c r="K252" s="21">
        <f>IF(E252&lt;=0.005,0,IF(Hipoteca!$C$8="Reducir cuota",$K$6-(B252-1),IFERROR(MAX(1,ROUNDUP(NPER(D251/12,-F251,E252),0)),$K$6-(B252-1))))</f>
        <v>73</v>
      </c>
      <c r="L252" s="21">
        <f>YEAR(C252)</f>
        <v>2047</v>
      </c>
      <c r="N252" s="25">
        <f>R251</f>
        <v>74520.45685999717</v>
      </c>
      <c r="O252" s="25">
        <f>IF(N252&lt;=0.005,0,IF(D252&lt;&gt;D251,PMT(D252/12,Hipoteca!$C$5*12-(B252-1),-N252),O251))</f>
        <v>748.6477272887904</v>
      </c>
      <c r="P252" s="25">
        <f>N252*D252/12</f>
        <v>180.09110407832648</v>
      </c>
      <c r="Q252" s="25">
        <f>IF(N252&lt;=0.005,0,MIN(N252,O252-P252))</f>
        <v>568.556623210464</v>
      </c>
      <c r="R252" s="25">
        <f>MAX(0,N252-Q252)</f>
        <v>73951.9002367867</v>
      </c>
    </row>
    <row r="253" spans="2:18" ht="18" customHeight="1">
      <c r="B253" s="21">
        <f>ROW()-5</f>
        <v>248</v>
      </c>
      <c r="C253" s="22">
        <f>EDATE(Hipoteca!$C$7,B253-1)</f>
        <v>53844.0</v>
      </c>
      <c r="D253" s="23">
        <f>IFERROR(LOOKUP(2,1/((Hipoteca!$E$4:$E$9&lt;&gt;"")*(Hipoteca!$E$4:$E$9&lt;=C253)),Hipoteca!$F$4:$F$9),Hipoteca!$C$6)</f>
        <v>0.029</v>
      </c>
      <c r="E253" s="24">
        <f>J252</f>
        <v>48659.48825728497</v>
      </c>
      <c r="F253" s="24">
        <f>IF(E253&lt;=0.005,0,MIN(E253*(1+D253/12),IF(OR(Hipoteca!$C$8="Reducir cuota",D253&lt;&gt;D252),PMT(D253/12,K253,-E253),F252)))</f>
        <v>746.6003367545769</v>
      </c>
      <c r="G253" s="24">
        <f>E253*D253/12</f>
        <v>117.59376328843867</v>
      </c>
      <c r="H253" s="24">
        <f>IF(E253&lt;=0.005,0,MIN(E253,F253-G253))</f>
        <v>629.0065734661382</v>
      </c>
      <c r="I253" s="24">
        <f>MIN(E253-H253,SUMPRODUCT((YEAR(Hipoteca!$H$4:$H$15)=YEAR(C253))*(MONTH(Hipoteca!$H$4:$H$15)=MONTH(C253))*(Hipoteca!$H$4:$H$15&lt;&gt;"")*Hipoteca!$I$4:$I$15))</f>
        <v>0</v>
      </c>
      <c r="J253" s="24">
        <f>MAX(0,E253-H253-I253)</f>
        <v>48030.48168381883</v>
      </c>
      <c r="K253" s="21">
        <f>IF(E253&lt;=0.005,0,IF(Hipoteca!$C$8="Reducir cuota",$K$6-(B253-1),IFERROR(MAX(1,ROUNDUP(NPER(D252/12,-F252,E253),0)),$K$6-(B253-1))))</f>
        <v>72</v>
      </c>
      <c r="L253" s="21">
        <f>YEAR(C253)</f>
        <v>2047</v>
      </c>
      <c r="N253" s="25">
        <f>R252</f>
        <v>73951.9002367867</v>
      </c>
      <c r="O253" s="25">
        <f>IF(N253&lt;=0.005,0,IF(D253&lt;&gt;D252,PMT(D253/12,Hipoteca!$C$5*12-(B253-1),-N253),O252))</f>
        <v>748.6477272887904</v>
      </c>
      <c r="P253" s="25">
        <f>N253*D253/12</f>
        <v>178.71709223890124</v>
      </c>
      <c r="Q253" s="25">
        <f>IF(N253&lt;=0.005,0,MIN(N253,O253-P253))</f>
        <v>569.9306350498891</v>
      </c>
      <c r="R253" s="25">
        <f>MAX(0,N253-Q253)</f>
        <v>73381.96960173681</v>
      </c>
    </row>
    <row r="254" spans="2:18" ht="18" customHeight="1">
      <c r="B254" s="21">
        <f>ROW()-5</f>
        <v>249</v>
      </c>
      <c r="C254" s="22">
        <f>EDATE(Hipoteca!$C$7,B254-1)</f>
        <v>53874.0</v>
      </c>
      <c r="D254" s="23">
        <f>IFERROR(LOOKUP(2,1/((Hipoteca!$E$4:$E$9&lt;&gt;"")*(Hipoteca!$E$4:$E$9&lt;=C254)),Hipoteca!$F$4:$F$9),Hipoteca!$C$6)</f>
        <v>0.029</v>
      </c>
      <c r="E254" s="24">
        <f>J253</f>
        <v>48030.48168381883</v>
      </c>
      <c r="F254" s="24">
        <f>IF(E254&lt;=0.005,0,MIN(E254*(1+D254/12),IF(OR(Hipoteca!$C$8="Reducir cuota",D254&lt;&gt;D253),PMT(D254/12,K254,-E254),F253)))</f>
        <v>746.6003367545769</v>
      </c>
      <c r="G254" s="24">
        <f>E254*D254/12</f>
        <v>116.07366406922883</v>
      </c>
      <c r="H254" s="24">
        <f>IF(E254&lt;=0.005,0,MIN(E254,F254-G254))</f>
        <v>630.5266726853481</v>
      </c>
      <c r="I254" s="24">
        <f>MIN(E254-H254,SUMPRODUCT((YEAR(Hipoteca!$H$4:$H$15)=YEAR(C254))*(MONTH(Hipoteca!$H$4:$H$15)=MONTH(C254))*(Hipoteca!$H$4:$H$15&lt;&gt;"")*Hipoteca!$I$4:$I$15))</f>
        <v>0</v>
      </c>
      <c r="J254" s="24">
        <f>MAX(0,E254-H254-I254)</f>
        <v>47399.955011133476</v>
      </c>
      <c r="K254" s="21">
        <f>IF(E254&lt;=0.005,0,IF(Hipoteca!$C$8="Reducir cuota",$K$6-(B254-1),IFERROR(MAX(1,ROUNDUP(NPER(D253/12,-F253,E254),0)),$K$6-(B254-1))))</f>
        <v>71</v>
      </c>
      <c r="L254" s="21">
        <f>YEAR(C254)</f>
        <v>2047</v>
      </c>
      <c r="N254" s="25">
        <f>R253</f>
        <v>73381.96960173681</v>
      </c>
      <c r="O254" s="25">
        <f>IF(N254&lt;=0.005,0,IF(D254&lt;&gt;D253,PMT(D254/12,Hipoteca!$C$5*12-(B254-1),-N254),O253))</f>
        <v>748.6477272887904</v>
      </c>
      <c r="P254" s="25">
        <f>N254*D254/12</f>
        <v>177.339759870864</v>
      </c>
      <c r="Q254" s="25">
        <f>IF(N254&lt;=0.005,0,MIN(N254,O254-P254))</f>
        <v>571.3079674179264</v>
      </c>
      <c r="R254" s="25">
        <f>MAX(0,N254-Q254)</f>
        <v>72810.66163431888</v>
      </c>
    </row>
    <row r="255" spans="2:18" ht="18" customHeight="1">
      <c r="B255" s="21">
        <f>ROW()-5</f>
        <v>250</v>
      </c>
      <c r="C255" s="22">
        <f>EDATE(Hipoteca!$C$7,B255-1)</f>
        <v>53905.0</v>
      </c>
      <c r="D255" s="23">
        <f>IFERROR(LOOKUP(2,1/((Hipoteca!$E$4:$E$9&lt;&gt;"")*(Hipoteca!$E$4:$E$9&lt;=C255)),Hipoteca!$F$4:$F$9),Hipoteca!$C$6)</f>
        <v>0.029</v>
      </c>
      <c r="E255" s="24">
        <f>J254</f>
        <v>47399.955011133476</v>
      </c>
      <c r="F255" s="24">
        <f>IF(E255&lt;=0.005,0,MIN(E255*(1+D255/12),IF(OR(Hipoteca!$C$8="Reducir cuota",D255&lt;&gt;D254),PMT(D255/12,K255,-E255),F254)))</f>
        <v>746.6003367545769</v>
      </c>
      <c r="G255" s="24">
        <f>E255*D255/12</f>
        <v>114.5498912769059</v>
      </c>
      <c r="H255" s="24">
        <f>IF(E255&lt;=0.005,0,MIN(E255,F255-G255))</f>
        <v>632.050445477671</v>
      </c>
      <c r="I255" s="24">
        <f>MIN(E255-H255,SUMPRODUCT((YEAR(Hipoteca!$H$4:$H$15)=YEAR(C255))*(MONTH(Hipoteca!$H$4:$H$15)=MONTH(C255))*(Hipoteca!$H$4:$H$15&lt;&gt;"")*Hipoteca!$I$4:$I$15))</f>
        <v>0</v>
      </c>
      <c r="J255" s="24">
        <f>MAX(0,E255-H255-I255)</f>
        <v>46767.9045656558</v>
      </c>
      <c r="K255" s="21">
        <f>IF(E255&lt;=0.005,0,IF(Hipoteca!$C$8="Reducir cuota",$K$6-(B255-1),IFERROR(MAX(1,ROUNDUP(NPER(D254/12,-F254,E255),0)),$K$6-(B255-1))))</f>
        <v>70</v>
      </c>
      <c r="L255" s="21">
        <f>YEAR(C255)</f>
        <v>2047</v>
      </c>
      <c r="N255" s="25">
        <f>R254</f>
        <v>72810.66163431888</v>
      </c>
      <c r="O255" s="25">
        <f>IF(N255&lt;=0.005,0,IF(D255&lt;&gt;D254,PMT(D255/12,Hipoteca!$C$5*12-(B255-1),-N255),O254))</f>
        <v>748.6477272887904</v>
      </c>
      <c r="P255" s="25">
        <f>N255*D255/12</f>
        <v>175.95909894960394</v>
      </c>
      <c r="Q255" s="25">
        <f>IF(N255&lt;=0.005,0,MIN(N255,O255-P255))</f>
        <v>572.6886283391865</v>
      </c>
      <c r="R255" s="25">
        <f>MAX(0,N255-Q255)</f>
        <v>72237.9730059797</v>
      </c>
    </row>
    <row r="256" spans="2:18" ht="18" customHeight="1">
      <c r="B256" s="21">
        <f>ROW()-5</f>
        <v>251</v>
      </c>
      <c r="C256" s="22">
        <f>EDATE(Hipoteca!$C$7,B256-1)</f>
        <v>53936.0</v>
      </c>
      <c r="D256" s="23">
        <f>IFERROR(LOOKUP(2,1/((Hipoteca!$E$4:$E$9&lt;&gt;"")*(Hipoteca!$E$4:$E$9&lt;=C256)),Hipoteca!$F$4:$F$9),Hipoteca!$C$6)</f>
        <v>0.029</v>
      </c>
      <c r="E256" s="24">
        <f>J255</f>
        <v>46767.9045656558</v>
      </c>
      <c r="F256" s="24">
        <f>IF(E256&lt;=0.005,0,MIN(E256*(1+D256/12),IF(OR(Hipoteca!$C$8="Reducir cuota",D256&lt;&gt;D255),PMT(D256/12,K256,-E256),F255)))</f>
        <v>746.6003367545769</v>
      </c>
      <c r="G256" s="24">
        <f>E256*D256/12</f>
        <v>113.0224360336682</v>
      </c>
      <c r="H256" s="24">
        <f>IF(E256&lt;=0.005,0,MIN(E256,F256-G256))</f>
        <v>633.5779007209087</v>
      </c>
      <c r="I256" s="24">
        <f>MIN(E256-H256,SUMPRODUCT((YEAR(Hipoteca!$H$4:$H$15)=YEAR(C256))*(MONTH(Hipoteca!$H$4:$H$15)=MONTH(C256))*(Hipoteca!$H$4:$H$15&lt;&gt;"")*Hipoteca!$I$4:$I$15))</f>
        <v>0</v>
      </c>
      <c r="J256" s="24">
        <f>MAX(0,E256-H256-I256)</f>
        <v>46134.326664934895</v>
      </c>
      <c r="K256" s="21">
        <f>IF(E256&lt;=0.005,0,IF(Hipoteca!$C$8="Reducir cuota",$K$6-(B256-1),IFERROR(MAX(1,ROUNDUP(NPER(D255/12,-F255,E256),0)),$K$6-(B256-1))))</f>
        <v>69</v>
      </c>
      <c r="L256" s="21">
        <f>YEAR(C256)</f>
        <v>2047</v>
      </c>
      <c r="N256" s="25">
        <f>R255</f>
        <v>72237.9730059797</v>
      </c>
      <c r="O256" s="25">
        <f>IF(N256&lt;=0.005,0,IF(D256&lt;&gt;D255,PMT(D256/12,Hipoteca!$C$5*12-(B256-1),-N256),O255))</f>
        <v>748.6477272887904</v>
      </c>
      <c r="P256" s="25">
        <f>N256*D256/12</f>
        <v>174.57510143111764</v>
      </c>
      <c r="Q256" s="25">
        <f>IF(N256&lt;=0.005,0,MIN(N256,O256-P256))</f>
        <v>574.0726258576727</v>
      </c>
      <c r="R256" s="25">
        <f>MAX(0,N256-Q256)</f>
        <v>71663.90038012202</v>
      </c>
    </row>
    <row r="257" spans="2:18" ht="18" customHeight="1">
      <c r="B257" s="21">
        <f>ROW()-5</f>
        <v>252</v>
      </c>
      <c r="C257" s="22">
        <f>EDATE(Hipoteca!$C$7,B257-1)</f>
        <v>53966.0</v>
      </c>
      <c r="D257" s="23">
        <f>IFERROR(LOOKUP(2,1/((Hipoteca!$E$4:$E$9&lt;&gt;"")*(Hipoteca!$E$4:$E$9&lt;=C257)),Hipoteca!$F$4:$F$9),Hipoteca!$C$6)</f>
        <v>0.029</v>
      </c>
      <c r="E257" s="24">
        <f>J256</f>
        <v>46134.326664934895</v>
      </c>
      <c r="F257" s="24">
        <f>IF(E257&lt;=0.005,0,MIN(E257*(1+D257/12),IF(OR(Hipoteca!$C$8="Reducir cuota",D257&lt;&gt;D256),PMT(D257/12,K257,-E257),F256)))</f>
        <v>746.6003367545769</v>
      </c>
      <c r="G257" s="24">
        <f>E257*D257/12</f>
        <v>111.49128944025934</v>
      </c>
      <c r="H257" s="24">
        <f>IF(E257&lt;=0.005,0,MIN(E257,F257-G257))</f>
        <v>635.1090473143175</v>
      </c>
      <c r="I257" s="24">
        <f>MIN(E257-H257,SUMPRODUCT((YEAR(Hipoteca!$H$4:$H$15)=YEAR(C257))*(MONTH(Hipoteca!$H$4:$H$15)=MONTH(C257))*(Hipoteca!$H$4:$H$15&lt;&gt;"")*Hipoteca!$I$4:$I$15))</f>
        <v>0</v>
      </c>
      <c r="J257" s="24">
        <f>MAX(0,E257-H257-I257)</f>
        <v>45499.217617620576</v>
      </c>
      <c r="K257" s="21">
        <f>IF(E257&lt;=0.005,0,IF(Hipoteca!$C$8="Reducir cuota",$K$6-(B257-1),IFERROR(MAX(1,ROUNDUP(NPER(D256/12,-F256,E257),0)),$K$6-(B257-1))))</f>
        <v>68</v>
      </c>
      <c r="L257" s="21">
        <f>YEAR(C257)</f>
        <v>2047</v>
      </c>
      <c r="N257" s="25">
        <f>R256</f>
        <v>71663.90038012202</v>
      </c>
      <c r="O257" s="25">
        <f>IF(N257&lt;=0.005,0,IF(D257&lt;&gt;D256,PMT(D257/12,Hipoteca!$C$5*12-(B257-1),-N257),O256))</f>
        <v>748.6477272887904</v>
      </c>
      <c r="P257" s="25">
        <f>N257*D257/12</f>
        <v>173.18775925196155</v>
      </c>
      <c r="Q257" s="25">
        <f>IF(N257&lt;=0.005,0,MIN(N257,O257-P257))</f>
        <v>575.4599680368289</v>
      </c>
      <c r="R257" s="25">
        <f>MAX(0,N257-Q257)</f>
        <v>71088.4404120852</v>
      </c>
    </row>
    <row r="258" spans="2:18" ht="18" customHeight="1">
      <c r="B258" s="21">
        <f>ROW()-5</f>
        <v>253</v>
      </c>
      <c r="C258" s="22">
        <f>EDATE(Hipoteca!$C$7,B258-1)</f>
        <v>53997.0</v>
      </c>
      <c r="D258" s="23">
        <f>IFERROR(LOOKUP(2,1/((Hipoteca!$E$4:$E$9&lt;&gt;"")*(Hipoteca!$E$4:$E$9&lt;=C258)),Hipoteca!$F$4:$F$9),Hipoteca!$C$6)</f>
        <v>0.029</v>
      </c>
      <c r="E258" s="24">
        <f>J257</f>
        <v>45499.217617620576</v>
      </c>
      <c r="F258" s="24">
        <f>IF(E258&lt;=0.005,0,MIN(E258*(1+D258/12),IF(OR(Hipoteca!$C$8="Reducir cuota",D258&lt;&gt;D257),PMT(D258/12,K258,-E258),F257)))</f>
        <v>746.6003367545769</v>
      </c>
      <c r="G258" s="24">
        <f>E258*D258/12</f>
        <v>109.9564425759164</v>
      </c>
      <c r="H258" s="24">
        <f>IF(E258&lt;=0.005,0,MIN(E258,F258-G258))</f>
        <v>636.6438941786605</v>
      </c>
      <c r="I258" s="24">
        <f>MIN(E258-H258,SUMPRODUCT((YEAR(Hipoteca!$H$4:$H$15)=YEAR(C258))*(MONTH(Hipoteca!$H$4:$H$15)=MONTH(C258))*(Hipoteca!$H$4:$H$15&lt;&gt;"")*Hipoteca!$I$4:$I$15))</f>
        <v>0</v>
      </c>
      <c r="J258" s="24">
        <f>MAX(0,E258-H258-I258)</f>
        <v>44862.573723441914</v>
      </c>
      <c r="K258" s="21">
        <f>IF(E258&lt;=0.005,0,IF(Hipoteca!$C$8="Reducir cuota",$K$6-(B258-1),IFERROR(MAX(1,ROUNDUP(NPER(D257/12,-F257,E258),0)),$K$6-(B258-1))))</f>
        <v>67</v>
      </c>
      <c r="L258" s="21">
        <f>YEAR(C258)</f>
        <v>2047</v>
      </c>
      <c r="N258" s="25">
        <f>R257</f>
        <v>71088.4404120852</v>
      </c>
      <c r="O258" s="25">
        <f>IF(N258&lt;=0.005,0,IF(D258&lt;&gt;D257,PMT(D258/12,Hipoteca!$C$5*12-(B258-1),-N258),O257))</f>
        <v>748.6477272887904</v>
      </c>
      <c r="P258" s="25">
        <f>N258*D258/12</f>
        <v>171.7970643292059</v>
      </c>
      <c r="Q258" s="25">
        <f>IF(N258&lt;=0.005,0,MIN(N258,O258-P258))</f>
        <v>576.8506629595845</v>
      </c>
      <c r="R258" s="25">
        <f>MAX(0,N258-Q258)</f>
        <v>70511.58974912562</v>
      </c>
    </row>
    <row r="259" spans="2:18" ht="18" customHeight="1">
      <c r="B259" s="21">
        <f>ROW()-5</f>
        <v>254</v>
      </c>
      <c r="C259" s="22">
        <f>EDATE(Hipoteca!$C$7,B259-1)</f>
        <v>54027.0</v>
      </c>
      <c r="D259" s="23">
        <f>IFERROR(LOOKUP(2,1/((Hipoteca!$E$4:$E$9&lt;&gt;"")*(Hipoteca!$E$4:$E$9&lt;=C259)),Hipoteca!$F$4:$F$9),Hipoteca!$C$6)</f>
        <v>0.029</v>
      </c>
      <c r="E259" s="24">
        <f>J258</f>
        <v>44862.573723441914</v>
      </c>
      <c r="F259" s="24">
        <f>IF(E259&lt;=0.005,0,MIN(E259*(1+D259/12),IF(OR(Hipoteca!$C$8="Reducir cuota",D259&lt;&gt;D258),PMT(D259/12,K259,-E259),F258)))</f>
        <v>746.6003367545769</v>
      </c>
      <c r="G259" s="24">
        <f>E259*D259/12</f>
        <v>108.41788649831796</v>
      </c>
      <c r="H259" s="24">
        <f>IF(E259&lt;=0.005,0,MIN(E259,F259-G259))</f>
        <v>638.182450256259</v>
      </c>
      <c r="I259" s="24">
        <f>MIN(E259-H259,SUMPRODUCT((YEAR(Hipoteca!$H$4:$H$15)=YEAR(C259))*(MONTH(Hipoteca!$H$4:$H$15)=MONTH(C259))*(Hipoteca!$H$4:$H$15&lt;&gt;"")*Hipoteca!$I$4:$I$15))</f>
        <v>0</v>
      </c>
      <c r="J259" s="24">
        <f>MAX(0,E259-H259-I259)</f>
        <v>44224.391273185654</v>
      </c>
      <c r="K259" s="21">
        <f>IF(E259&lt;=0.005,0,IF(Hipoteca!$C$8="Reducir cuota",$K$6-(B259-1),IFERROR(MAX(1,ROUNDUP(NPER(D258/12,-F258,E259),0)),$K$6-(B259-1))))</f>
        <v>66</v>
      </c>
      <c r="L259" s="21">
        <f>YEAR(C259)</f>
        <v>2047</v>
      </c>
      <c r="N259" s="25">
        <f>R258</f>
        <v>70511.58974912562</v>
      </c>
      <c r="O259" s="25">
        <f>IF(N259&lt;=0.005,0,IF(D259&lt;&gt;D258,PMT(D259/12,Hipoteca!$C$5*12-(B259-1),-N259),O258))</f>
        <v>748.6477272887904</v>
      </c>
      <c r="P259" s="25">
        <f>N259*D259/12</f>
        <v>170.40300856038692</v>
      </c>
      <c r="Q259" s="25">
        <f>IF(N259&lt;=0.005,0,MIN(N259,O259-P259))</f>
        <v>578.2447187284035</v>
      </c>
      <c r="R259" s="25">
        <f>MAX(0,N259-Q259)</f>
        <v>69933.34503039722</v>
      </c>
    </row>
    <row r="260" spans="2:18" ht="18" customHeight="1">
      <c r="B260" s="21">
        <f>ROW()-5</f>
        <v>255</v>
      </c>
      <c r="C260" s="22">
        <f>EDATE(Hipoteca!$C$7,B260-1)</f>
        <v>54058.0</v>
      </c>
      <c r="D260" s="23">
        <f>IFERROR(LOOKUP(2,1/((Hipoteca!$E$4:$E$9&lt;&gt;"")*(Hipoteca!$E$4:$E$9&lt;=C260)),Hipoteca!$F$4:$F$9),Hipoteca!$C$6)</f>
        <v>0.029</v>
      </c>
      <c r="E260" s="24">
        <f>J259</f>
        <v>44224.391273185654</v>
      </c>
      <c r="F260" s="24">
        <f>IF(E260&lt;=0.005,0,MIN(E260*(1+D260/12),IF(OR(Hipoteca!$C$8="Reducir cuota",D260&lt;&gt;D259),PMT(D260/12,K260,-E260),F259)))</f>
        <v>746.6003367545769</v>
      </c>
      <c r="G260" s="24">
        <f>E260*D260/12</f>
        <v>106.87561224353199</v>
      </c>
      <c r="H260" s="24">
        <f>IF(E260&lt;=0.005,0,MIN(E260,F260-G260))</f>
        <v>639.7247245110449</v>
      </c>
      <c r="I260" s="24">
        <f>MIN(E260-H260,SUMPRODUCT((YEAR(Hipoteca!$H$4:$H$15)=YEAR(C260))*(MONTH(Hipoteca!$H$4:$H$15)=MONTH(C260))*(Hipoteca!$H$4:$H$15&lt;&gt;"")*Hipoteca!$I$4:$I$15))</f>
        <v>0</v>
      </c>
      <c r="J260" s="24">
        <f>MAX(0,E260-H260-I260)</f>
        <v>43584.666548674606</v>
      </c>
      <c r="K260" s="21">
        <f>IF(E260&lt;=0.005,0,IF(Hipoteca!$C$8="Reducir cuota",$K$6-(B260-1),IFERROR(MAX(1,ROUNDUP(NPER(D259/12,-F259,E260),0)),$K$6-(B260-1))))</f>
        <v>65</v>
      </c>
      <c r="L260" s="21">
        <f>YEAR(C260)</f>
        <v>2048</v>
      </c>
      <c r="N260" s="25">
        <f>R259</f>
        <v>69933.34503039722</v>
      </c>
      <c r="O260" s="25">
        <f>IF(N260&lt;=0.005,0,IF(D260&lt;&gt;D259,PMT(D260/12,Hipoteca!$C$5*12-(B260-1),-N260),O259))</f>
        <v>748.6477272887904</v>
      </c>
      <c r="P260" s="25">
        <f>N260*D260/12</f>
        <v>169.00558382345994</v>
      </c>
      <c r="Q260" s="25">
        <f>IF(N260&lt;=0.005,0,MIN(N260,O260-P260))</f>
        <v>579.6421434653305</v>
      </c>
      <c r="R260" s="25">
        <f>MAX(0,N260-Q260)</f>
        <v>69353.70288693189</v>
      </c>
    </row>
    <row r="261" spans="2:18" ht="18" customHeight="1">
      <c r="B261" s="21">
        <f>ROW()-5</f>
        <v>256</v>
      </c>
      <c r="C261" s="22">
        <f>EDATE(Hipoteca!$C$7,B261-1)</f>
        <v>54089.0</v>
      </c>
      <c r="D261" s="23">
        <f>IFERROR(LOOKUP(2,1/((Hipoteca!$E$4:$E$9&lt;&gt;"")*(Hipoteca!$E$4:$E$9&lt;=C261)),Hipoteca!$F$4:$F$9),Hipoteca!$C$6)</f>
        <v>0.029</v>
      </c>
      <c r="E261" s="24">
        <f>J260</f>
        <v>43584.666548674606</v>
      </c>
      <c r="F261" s="24">
        <f>IF(E261&lt;=0.005,0,MIN(E261*(1+D261/12),IF(OR(Hipoteca!$C$8="Reducir cuota",D261&lt;&gt;D260),PMT(D261/12,K261,-E261),F260)))</f>
        <v>746.6003367545769</v>
      </c>
      <c r="G261" s="24">
        <f>E261*D261/12</f>
        <v>105.32961082596364</v>
      </c>
      <c r="H261" s="24">
        <f>IF(E261&lt;=0.005,0,MIN(E261,F261-G261))</f>
        <v>641.2707259286133</v>
      </c>
      <c r="I261" s="24">
        <f>MIN(E261-H261,SUMPRODUCT((YEAR(Hipoteca!$H$4:$H$15)=YEAR(C261))*(MONTH(Hipoteca!$H$4:$H$15)=MONTH(C261))*(Hipoteca!$H$4:$H$15&lt;&gt;"")*Hipoteca!$I$4:$I$15))</f>
        <v>0</v>
      </c>
      <c r="J261" s="24">
        <f>MAX(0,E261-H261-I261)</f>
        <v>42943.395822745995</v>
      </c>
      <c r="K261" s="21">
        <f>IF(E261&lt;=0.005,0,IF(Hipoteca!$C$8="Reducir cuota",$K$6-(B261-1),IFERROR(MAX(1,ROUNDUP(NPER(D260/12,-F260,E261),0)),$K$6-(B261-1))))</f>
        <v>64</v>
      </c>
      <c r="L261" s="21">
        <f>YEAR(C261)</f>
        <v>2048</v>
      </c>
      <c r="N261" s="25">
        <f>R260</f>
        <v>69353.70288693189</v>
      </c>
      <c r="O261" s="25">
        <f>IF(N261&lt;=0.005,0,IF(D261&lt;&gt;D260,PMT(D261/12,Hipoteca!$C$5*12-(B261-1),-N261),O260))</f>
        <v>748.6477272887904</v>
      </c>
      <c r="P261" s="25">
        <f>N261*D261/12</f>
        <v>167.60478197675207</v>
      </c>
      <c r="Q261" s="25">
        <f>IF(N261&lt;=0.005,0,MIN(N261,O261-P261))</f>
        <v>581.0429453120383</v>
      </c>
      <c r="R261" s="25">
        <f>MAX(0,N261-Q261)</f>
        <v>68772.65994161984</v>
      </c>
    </row>
    <row r="262" spans="2:18" ht="18" customHeight="1">
      <c r="B262" s="21">
        <f>ROW()-5</f>
        <v>257</v>
      </c>
      <c r="C262" s="22">
        <f>EDATE(Hipoteca!$C$7,B262-1)</f>
        <v>54118.0</v>
      </c>
      <c r="D262" s="23">
        <f>IFERROR(LOOKUP(2,1/((Hipoteca!$E$4:$E$9&lt;&gt;"")*(Hipoteca!$E$4:$E$9&lt;=C262)),Hipoteca!$F$4:$F$9),Hipoteca!$C$6)</f>
        <v>0.029</v>
      </c>
      <c r="E262" s="24">
        <f>J261</f>
        <v>42943.395822745995</v>
      </c>
      <c r="F262" s="24">
        <f>IF(E262&lt;=0.005,0,MIN(E262*(1+D262/12),IF(OR(Hipoteca!$C$8="Reducir cuota",D262&lt;&gt;D261),PMT(D262/12,K262,-E262),F261)))</f>
        <v>746.6003367545769</v>
      </c>
      <c r="G262" s="24">
        <f>E262*D262/12</f>
        <v>103.77987323830284</v>
      </c>
      <c r="H262" s="24">
        <f>IF(E262&lt;=0.005,0,MIN(E262,F262-G262))</f>
        <v>642.8204635162741</v>
      </c>
      <c r="I262" s="24">
        <f>MIN(E262-H262,SUMPRODUCT((YEAR(Hipoteca!$H$4:$H$15)=YEAR(C262))*(MONTH(Hipoteca!$H$4:$H$15)=MONTH(C262))*(Hipoteca!$H$4:$H$15&lt;&gt;"")*Hipoteca!$I$4:$I$15))</f>
        <v>0</v>
      </c>
      <c r="J262" s="24">
        <f>MAX(0,E262-H262-I262)</f>
        <v>42300.57535922972</v>
      </c>
      <c r="K262" s="21">
        <f>IF(E262&lt;=0.005,0,IF(Hipoteca!$C$8="Reducir cuota",$K$6-(B262-1),IFERROR(MAX(1,ROUNDUP(NPER(D261/12,-F261,E262),0)),$K$6-(B262-1))))</f>
        <v>63</v>
      </c>
      <c r="L262" s="21">
        <f>YEAR(C262)</f>
        <v>2048</v>
      </c>
      <c r="N262" s="25">
        <f>R261</f>
        <v>68772.65994161984</v>
      </c>
      <c r="O262" s="25">
        <f>IF(N262&lt;=0.005,0,IF(D262&lt;&gt;D261,PMT(D262/12,Hipoteca!$C$5*12-(B262-1),-N262),O261))</f>
        <v>748.6477272887904</v>
      </c>
      <c r="P262" s="25">
        <f>N262*D262/12</f>
        <v>166.20059485891463</v>
      </c>
      <c r="Q262" s="25">
        <f>IF(N262&lt;=0.005,0,MIN(N262,O262-P262))</f>
        <v>582.4471324298758</v>
      </c>
      <c r="R262" s="25">
        <f>MAX(0,N262-Q262)</f>
        <v>68190.21280918996</v>
      </c>
    </row>
    <row r="263" spans="2:18" ht="18" customHeight="1">
      <c r="B263" s="21">
        <f>ROW()-5</f>
        <v>258</v>
      </c>
      <c r="C263" s="22">
        <f>EDATE(Hipoteca!$C$7,B263-1)</f>
        <v>54149.0</v>
      </c>
      <c r="D263" s="23">
        <f>IFERROR(LOOKUP(2,1/((Hipoteca!$E$4:$E$9&lt;&gt;"")*(Hipoteca!$E$4:$E$9&lt;=C263)),Hipoteca!$F$4:$F$9),Hipoteca!$C$6)</f>
        <v>0.029</v>
      </c>
      <c r="E263" s="24">
        <f>J262</f>
        <v>42300.57535922972</v>
      </c>
      <c r="F263" s="24">
        <f>IF(E263&lt;=0.005,0,MIN(E263*(1+D263/12),IF(OR(Hipoteca!$C$8="Reducir cuota",D263&lt;&gt;D262),PMT(D263/12,K263,-E263),F262)))</f>
        <v>746.6003367545769</v>
      </c>
      <c r="G263" s="24">
        <f>E263*D263/12</f>
        <v>102.22639045147183</v>
      </c>
      <c r="H263" s="24">
        <f>IF(E263&lt;=0.005,0,MIN(E263,F263-G263))</f>
        <v>644.3739463031051</v>
      </c>
      <c r="I263" s="24">
        <f>MIN(E263-H263,SUMPRODUCT((YEAR(Hipoteca!$H$4:$H$15)=YEAR(C263))*(MONTH(Hipoteca!$H$4:$H$15)=MONTH(C263))*(Hipoteca!$H$4:$H$15&lt;&gt;"")*Hipoteca!$I$4:$I$15))</f>
        <v>0</v>
      </c>
      <c r="J263" s="24">
        <f>MAX(0,E263-H263-I263)</f>
        <v>41656.20141292662</v>
      </c>
      <c r="K263" s="21">
        <f>IF(E263&lt;=0.005,0,IF(Hipoteca!$C$8="Reducir cuota",$K$6-(B263-1),IFERROR(MAX(1,ROUNDUP(NPER(D262/12,-F262,E263),0)),$K$6-(B263-1))))</f>
        <v>62</v>
      </c>
      <c r="L263" s="21">
        <f>YEAR(C263)</f>
        <v>2048</v>
      </c>
      <c r="N263" s="25">
        <f>R262</f>
        <v>68190.21280918996</v>
      </c>
      <c r="O263" s="25">
        <f>IF(N263&lt;=0.005,0,IF(D263&lt;&gt;D262,PMT(D263/12,Hipoteca!$C$5*12-(B263-1),-N263),O262))</f>
        <v>748.6477272887904</v>
      </c>
      <c r="P263" s="25">
        <f>N263*D263/12</f>
        <v>164.79301428887575</v>
      </c>
      <c r="Q263" s="25">
        <f>IF(N263&lt;=0.005,0,MIN(N263,O263-P263))</f>
        <v>583.8547129999147</v>
      </c>
      <c r="R263" s="25">
        <f>MAX(0,N263-Q263)</f>
        <v>67606.35809619004</v>
      </c>
    </row>
    <row r="264" spans="2:18" ht="18" customHeight="1">
      <c r="B264" s="21">
        <f>ROW()-5</f>
        <v>259</v>
      </c>
      <c r="C264" s="22">
        <f>EDATE(Hipoteca!$C$7,B264-1)</f>
        <v>54179.0</v>
      </c>
      <c r="D264" s="23">
        <f>IFERROR(LOOKUP(2,1/((Hipoteca!$E$4:$E$9&lt;&gt;"")*(Hipoteca!$E$4:$E$9&lt;=C264)),Hipoteca!$F$4:$F$9),Hipoteca!$C$6)</f>
        <v>0.029</v>
      </c>
      <c r="E264" s="24">
        <f>J263</f>
        <v>41656.20141292662</v>
      </c>
      <c r="F264" s="24">
        <f>IF(E264&lt;=0.005,0,MIN(E264*(1+D264/12),IF(OR(Hipoteca!$C$8="Reducir cuota",D264&lt;&gt;D263),PMT(D264/12,K264,-E264),F263)))</f>
        <v>746.6003367545769</v>
      </c>
      <c r="G264" s="24">
        <f>E264*D264/12</f>
        <v>100.66915341457268</v>
      </c>
      <c r="H264" s="24">
        <f>IF(E264&lt;=0.005,0,MIN(E264,F264-G264))</f>
        <v>645.9311833400043</v>
      </c>
      <c r="I264" s="24">
        <f>MIN(E264-H264,SUMPRODUCT((YEAR(Hipoteca!$H$4:$H$15)=YEAR(C264))*(MONTH(Hipoteca!$H$4:$H$15)=MONTH(C264))*(Hipoteca!$H$4:$H$15&lt;&gt;"")*Hipoteca!$I$4:$I$15))</f>
        <v>0</v>
      </c>
      <c r="J264" s="24">
        <f>MAX(0,E264-H264-I264)</f>
        <v>41010.27022958661</v>
      </c>
      <c r="K264" s="21">
        <f>IF(E264&lt;=0.005,0,IF(Hipoteca!$C$8="Reducir cuota",$K$6-(B264-1),IFERROR(MAX(1,ROUNDUP(NPER(D263/12,-F263,E264),0)),$K$6-(B264-1))))</f>
        <v>61</v>
      </c>
      <c r="L264" s="21">
        <f>YEAR(C264)</f>
        <v>2048</v>
      </c>
      <c r="N264" s="25">
        <f>R263</f>
        <v>67606.35809619004</v>
      </c>
      <c r="O264" s="25">
        <f>IF(N264&lt;=0.005,0,IF(D264&lt;&gt;D263,PMT(D264/12,Hipoteca!$C$5*12-(B264-1),-N264),O263))</f>
        <v>748.6477272887904</v>
      </c>
      <c r="P264" s="25">
        <f>N264*D264/12</f>
        <v>163.38203206579263</v>
      </c>
      <c r="Q264" s="25">
        <f>IF(N264&lt;=0.005,0,MIN(N264,O264-P264))</f>
        <v>585.2656952229978</v>
      </c>
      <c r="R264" s="25">
        <f>MAX(0,N264-Q264)</f>
        <v>67021.09240096704</v>
      </c>
    </row>
    <row r="265" spans="2:18" ht="18" customHeight="1">
      <c r="B265" s="21">
        <f>ROW()-5</f>
        <v>260</v>
      </c>
      <c r="C265" s="22">
        <f>EDATE(Hipoteca!$C$7,B265-1)</f>
        <v>54210.0</v>
      </c>
      <c r="D265" s="23">
        <f>IFERROR(LOOKUP(2,1/((Hipoteca!$E$4:$E$9&lt;&gt;"")*(Hipoteca!$E$4:$E$9&lt;=C265)),Hipoteca!$F$4:$F$9),Hipoteca!$C$6)</f>
        <v>0.029</v>
      </c>
      <c r="E265" s="24">
        <f>J264</f>
        <v>41010.27022958661</v>
      </c>
      <c r="F265" s="24">
        <f>IF(E265&lt;=0.005,0,MIN(E265*(1+D265/12),IF(OR(Hipoteca!$C$8="Reducir cuota",D265&lt;&gt;D264),PMT(D265/12,K265,-E265),F264)))</f>
        <v>746.6003367545769</v>
      </c>
      <c r="G265" s="24">
        <f>E265*D265/12</f>
        <v>99.10815305483432</v>
      </c>
      <c r="H265" s="24">
        <f>IF(E265&lt;=0.005,0,MIN(E265,F265-G265))</f>
        <v>647.4921836997426</v>
      </c>
      <c r="I265" s="24">
        <f>MIN(E265-H265,SUMPRODUCT((YEAR(Hipoteca!$H$4:$H$15)=YEAR(C265))*(MONTH(Hipoteca!$H$4:$H$15)=MONTH(C265))*(Hipoteca!$H$4:$H$15&lt;&gt;"")*Hipoteca!$I$4:$I$15))</f>
        <v>0</v>
      </c>
      <c r="J265" s="24">
        <f>MAX(0,E265-H265-I265)</f>
        <v>40362.778045886866</v>
      </c>
      <c r="K265" s="21">
        <f>IF(E265&lt;=0.005,0,IF(Hipoteca!$C$8="Reducir cuota",$K$6-(B265-1),IFERROR(MAX(1,ROUNDUP(NPER(D264/12,-F264,E265),0)),$K$6-(B265-1))))</f>
        <v>60</v>
      </c>
      <c r="L265" s="21">
        <f>YEAR(C265)</f>
        <v>2048</v>
      </c>
      <c r="N265" s="25">
        <f>R264</f>
        <v>67021.09240096704</v>
      </c>
      <c r="O265" s="25">
        <f>IF(N265&lt;=0.005,0,IF(D265&lt;&gt;D264,PMT(D265/12,Hipoteca!$C$5*12-(B265-1),-N265),O264))</f>
        <v>748.6477272887904</v>
      </c>
      <c r="P265" s="25">
        <f>N265*D265/12</f>
        <v>161.9676399690037</v>
      </c>
      <c r="Q265" s="25">
        <f>IF(N265&lt;=0.005,0,MIN(N265,O265-P265))</f>
        <v>586.6800873197867</v>
      </c>
      <c r="R265" s="25">
        <f>MAX(0,N265-Q265)</f>
        <v>66434.41231364725</v>
      </c>
    </row>
    <row r="266" spans="2:18" ht="18" customHeight="1">
      <c r="B266" s="21">
        <f>ROW()-5</f>
        <v>261</v>
      </c>
      <c r="C266" s="22">
        <f>EDATE(Hipoteca!$C$7,B266-1)</f>
        <v>54240.0</v>
      </c>
      <c r="D266" s="23">
        <f>IFERROR(LOOKUP(2,1/((Hipoteca!$E$4:$E$9&lt;&gt;"")*(Hipoteca!$E$4:$E$9&lt;=C266)),Hipoteca!$F$4:$F$9),Hipoteca!$C$6)</f>
        <v>0.029</v>
      </c>
      <c r="E266" s="24">
        <f>J265</f>
        <v>40362.778045886866</v>
      </c>
      <c r="F266" s="24">
        <f>IF(E266&lt;=0.005,0,MIN(E266*(1+D266/12),IF(OR(Hipoteca!$C$8="Reducir cuota",D266&lt;&gt;D265),PMT(D266/12,K266,-E266),F265)))</f>
        <v>746.6003367545769</v>
      </c>
      <c r="G266" s="24">
        <f>E266*D266/12</f>
        <v>97.54338027755993</v>
      </c>
      <c r="H266" s="24">
        <f>IF(E266&lt;=0.005,0,MIN(E266,F266-G266))</f>
        <v>649.056956477017</v>
      </c>
      <c r="I266" s="24">
        <f>MIN(E266-H266,SUMPRODUCT((YEAR(Hipoteca!$H$4:$H$15)=YEAR(C266))*(MONTH(Hipoteca!$H$4:$H$15)=MONTH(C266))*(Hipoteca!$H$4:$H$15&lt;&gt;"")*Hipoteca!$I$4:$I$15))</f>
        <v>0</v>
      </c>
      <c r="J266" s="24">
        <f>MAX(0,E266-H266-I266)</f>
        <v>39713.721089409846</v>
      </c>
      <c r="K266" s="21">
        <f>IF(E266&lt;=0.005,0,IF(Hipoteca!$C$8="Reducir cuota",$K$6-(B266-1),IFERROR(MAX(1,ROUNDUP(NPER(D265/12,-F265,E266),0)),$K$6-(B266-1))))</f>
        <v>59</v>
      </c>
      <c r="L266" s="21">
        <f>YEAR(C266)</f>
        <v>2048</v>
      </c>
      <c r="N266" s="25">
        <f>R265</f>
        <v>66434.41231364725</v>
      </c>
      <c r="O266" s="25">
        <f>IF(N266&lt;=0.005,0,IF(D266&lt;&gt;D265,PMT(D266/12,Hipoteca!$C$5*12-(B266-1),-N266),O265))</f>
        <v>748.6477272887904</v>
      </c>
      <c r="P266" s="25">
        <f>N266*D266/12</f>
        <v>160.54982975798086</v>
      </c>
      <c r="Q266" s="25">
        <f>IF(N266&lt;=0.005,0,MIN(N266,O266-P266))</f>
        <v>588.0978975308095</v>
      </c>
      <c r="R266" s="25">
        <f>MAX(0,N266-Q266)</f>
        <v>65846.31441611644</v>
      </c>
    </row>
    <row r="267" spans="2:18" ht="18" customHeight="1">
      <c r="B267" s="21">
        <f>ROW()-5</f>
        <v>262</v>
      </c>
      <c r="C267" s="22">
        <f>EDATE(Hipoteca!$C$7,B267-1)</f>
        <v>54271.0</v>
      </c>
      <c r="D267" s="23">
        <f>IFERROR(LOOKUP(2,1/((Hipoteca!$E$4:$E$9&lt;&gt;"")*(Hipoteca!$E$4:$E$9&lt;=C267)),Hipoteca!$F$4:$F$9),Hipoteca!$C$6)</f>
        <v>0.029</v>
      </c>
      <c r="E267" s="24">
        <f>J266</f>
        <v>39713.721089409846</v>
      </c>
      <c r="F267" s="24">
        <f>IF(E267&lt;=0.005,0,MIN(E267*(1+D267/12),IF(OR(Hipoteca!$C$8="Reducir cuota",D267&lt;&gt;D266),PMT(D267/12,K267,-E267),F266)))</f>
        <v>746.6003367545769</v>
      </c>
      <c r="G267" s="24">
        <f>E267*D267/12</f>
        <v>95.97482596607381</v>
      </c>
      <c r="H267" s="24">
        <f>IF(E267&lt;=0.005,0,MIN(E267,F267-G267))</f>
        <v>650.6255107885031</v>
      </c>
      <c r="I267" s="24">
        <f>MIN(E267-H267,SUMPRODUCT((YEAR(Hipoteca!$H$4:$H$15)=YEAR(C267))*(MONTH(Hipoteca!$H$4:$H$15)=MONTH(C267))*(Hipoteca!$H$4:$H$15&lt;&gt;"")*Hipoteca!$I$4:$I$15))</f>
        <v>0</v>
      </c>
      <c r="J267" s="24">
        <f>MAX(0,E267-H267-I267)</f>
        <v>39063.095578621345</v>
      </c>
      <c r="K267" s="21">
        <f>IF(E267&lt;=0.005,0,IF(Hipoteca!$C$8="Reducir cuota",$K$6-(B267-1),IFERROR(MAX(1,ROUNDUP(NPER(D266/12,-F266,E267),0)),$K$6-(B267-1))))</f>
        <v>58</v>
      </c>
      <c r="L267" s="21">
        <f>YEAR(C267)</f>
        <v>2048</v>
      </c>
      <c r="N267" s="25">
        <f>R266</f>
        <v>65846.31441611644</v>
      </c>
      <c r="O267" s="25">
        <f>IF(N267&lt;=0.005,0,IF(D267&lt;&gt;D266,PMT(D267/12,Hipoteca!$C$5*12-(B267-1),-N267),O266))</f>
        <v>748.6477272887904</v>
      </c>
      <c r="P267" s="25">
        <f>N267*D267/12</f>
        <v>159.1285931722814</v>
      </c>
      <c r="Q267" s="25">
        <f>IF(N267&lt;=0.005,0,MIN(N267,O267-P267))</f>
        <v>589.519134116509</v>
      </c>
      <c r="R267" s="25">
        <f>MAX(0,N267-Q267)</f>
        <v>65256.79528199993</v>
      </c>
    </row>
    <row r="268" spans="2:18" ht="18" customHeight="1">
      <c r="B268" s="21">
        <f>ROW()-5</f>
        <v>263</v>
      </c>
      <c r="C268" s="22">
        <f>EDATE(Hipoteca!$C$7,B268-1)</f>
        <v>54302.0</v>
      </c>
      <c r="D268" s="23">
        <f>IFERROR(LOOKUP(2,1/((Hipoteca!$E$4:$E$9&lt;&gt;"")*(Hipoteca!$E$4:$E$9&lt;=C268)),Hipoteca!$F$4:$F$9),Hipoteca!$C$6)</f>
        <v>0.029</v>
      </c>
      <c r="E268" s="24">
        <f>J267</f>
        <v>39063.095578621345</v>
      </c>
      <c r="F268" s="24">
        <f>IF(E268&lt;=0.005,0,MIN(E268*(1+D268/12),IF(OR(Hipoteca!$C$8="Reducir cuota",D268&lt;&gt;D267),PMT(D268/12,K268,-E268),F267)))</f>
        <v>746.6003367545769</v>
      </c>
      <c r="G268" s="24">
        <f>E268*D268/12</f>
        <v>94.40248098166825</v>
      </c>
      <c r="H268" s="24">
        <f>IF(E268&lt;=0.005,0,MIN(E268,F268-G268))</f>
        <v>652.1978557729087</v>
      </c>
      <c r="I268" s="24">
        <f>MIN(E268-H268,SUMPRODUCT((YEAR(Hipoteca!$H$4:$H$15)=YEAR(C268))*(MONTH(Hipoteca!$H$4:$H$15)=MONTH(C268))*(Hipoteca!$H$4:$H$15&lt;&gt;"")*Hipoteca!$I$4:$I$15))</f>
        <v>0</v>
      </c>
      <c r="J268" s="24">
        <f>MAX(0,E268-H268-I268)</f>
        <v>38410.89772284844</v>
      </c>
      <c r="K268" s="21">
        <f>IF(E268&lt;=0.005,0,IF(Hipoteca!$C$8="Reducir cuota",$K$6-(B268-1),IFERROR(MAX(1,ROUNDUP(NPER(D267/12,-F267,E268),0)),$K$6-(B268-1))))</f>
        <v>57</v>
      </c>
      <c r="L268" s="21">
        <f>YEAR(C268)</f>
        <v>2048</v>
      </c>
      <c r="N268" s="25">
        <f>R267</f>
        <v>65256.79528199993</v>
      </c>
      <c r="O268" s="25">
        <f>IF(N268&lt;=0.005,0,IF(D268&lt;&gt;D267,PMT(D268/12,Hipoteca!$C$5*12-(B268-1),-N268),O267))</f>
        <v>748.6477272887904</v>
      </c>
      <c r="P268" s="25">
        <f>N268*D268/12</f>
        <v>157.70392193149982</v>
      </c>
      <c r="Q268" s="25">
        <f>IF(N268&lt;=0.005,0,MIN(N268,O268-P268))</f>
        <v>590.9438053572906</v>
      </c>
      <c r="R268" s="25">
        <f>MAX(0,N268-Q268)</f>
        <v>64665.85147664264</v>
      </c>
    </row>
    <row r="269" spans="2:18" ht="18" customHeight="1">
      <c r="B269" s="21">
        <f>ROW()-5</f>
        <v>264</v>
      </c>
      <c r="C269" s="22">
        <f>EDATE(Hipoteca!$C$7,B269-1)</f>
        <v>54332.0</v>
      </c>
      <c r="D269" s="23">
        <f>IFERROR(LOOKUP(2,1/((Hipoteca!$E$4:$E$9&lt;&gt;"")*(Hipoteca!$E$4:$E$9&lt;=C269)),Hipoteca!$F$4:$F$9),Hipoteca!$C$6)</f>
        <v>0.029</v>
      </c>
      <c r="E269" s="24">
        <f>J268</f>
        <v>38410.89772284844</v>
      </c>
      <c r="F269" s="24">
        <f>IF(E269&lt;=0.005,0,MIN(E269*(1+D269/12),IF(OR(Hipoteca!$C$8="Reducir cuota",D269&lt;&gt;D268),PMT(D269/12,K269,-E269),F268)))</f>
        <v>746.6003367545769</v>
      </c>
      <c r="G269" s="24">
        <f>E269*D269/12</f>
        <v>92.82633616355038</v>
      </c>
      <c r="H269" s="24">
        <f>IF(E269&lt;=0.005,0,MIN(E269,F269-G269))</f>
        <v>653.7740005910265</v>
      </c>
      <c r="I269" s="24">
        <f>MIN(E269-H269,SUMPRODUCT((YEAR(Hipoteca!$H$4:$H$15)=YEAR(C269))*(MONTH(Hipoteca!$H$4:$H$15)=MONTH(C269))*(Hipoteca!$H$4:$H$15&lt;&gt;"")*Hipoteca!$I$4:$I$15))</f>
        <v>0</v>
      </c>
      <c r="J269" s="24">
        <f>MAX(0,E269-H269-I269)</f>
        <v>37757.12372225741</v>
      </c>
      <c r="K269" s="21">
        <f>IF(E269&lt;=0.005,0,IF(Hipoteca!$C$8="Reducir cuota",$K$6-(B269-1),IFERROR(MAX(1,ROUNDUP(NPER(D268/12,-F268,E269),0)),$K$6-(B269-1))))</f>
        <v>56</v>
      </c>
      <c r="L269" s="21">
        <f>YEAR(C269)</f>
        <v>2048</v>
      </c>
      <c r="N269" s="25">
        <f>R268</f>
        <v>64665.85147664264</v>
      </c>
      <c r="O269" s="25">
        <f>IF(N269&lt;=0.005,0,IF(D269&lt;&gt;D268,PMT(D269/12,Hipoteca!$C$5*12-(B269-1),-N269),O268))</f>
        <v>748.6477272887904</v>
      </c>
      <c r="P269" s="25">
        <f>N269*D269/12</f>
        <v>156.27580773521973</v>
      </c>
      <c r="Q269" s="25">
        <f>IF(N269&lt;=0.005,0,MIN(N269,O269-P269))</f>
        <v>592.3719195535707</v>
      </c>
      <c r="R269" s="25">
        <f>MAX(0,N269-Q269)</f>
        <v>64073.479557089064</v>
      </c>
    </row>
    <row r="270" spans="2:18" ht="18" customHeight="1">
      <c r="B270" s="21">
        <f>ROW()-5</f>
        <v>265</v>
      </c>
      <c r="C270" s="22">
        <f>EDATE(Hipoteca!$C$7,B270-1)</f>
        <v>54363.0</v>
      </c>
      <c r="D270" s="23">
        <f>IFERROR(LOOKUP(2,1/((Hipoteca!$E$4:$E$9&lt;&gt;"")*(Hipoteca!$E$4:$E$9&lt;=C270)),Hipoteca!$F$4:$F$9),Hipoteca!$C$6)</f>
        <v>0.029</v>
      </c>
      <c r="E270" s="24">
        <f>J269</f>
        <v>37757.12372225741</v>
      </c>
      <c r="F270" s="24">
        <f>IF(E270&lt;=0.005,0,MIN(E270*(1+D270/12),IF(OR(Hipoteca!$C$8="Reducir cuota",D270&lt;&gt;D269),PMT(D270/12,K270,-E270),F269)))</f>
        <v>746.6003367545769</v>
      </c>
      <c r="G270" s="24">
        <f>E270*D270/12</f>
        <v>91.24638232878875</v>
      </c>
      <c r="H270" s="24">
        <f>IF(E270&lt;=0.005,0,MIN(E270,F270-G270))</f>
        <v>655.3539544257882</v>
      </c>
      <c r="I270" s="24">
        <f>MIN(E270-H270,SUMPRODUCT((YEAR(Hipoteca!$H$4:$H$15)=YEAR(C270))*(MONTH(Hipoteca!$H$4:$H$15)=MONTH(C270))*(Hipoteca!$H$4:$H$15&lt;&gt;"")*Hipoteca!$I$4:$I$15))</f>
        <v>0</v>
      </c>
      <c r="J270" s="24">
        <f>MAX(0,E270-H270-I270)</f>
        <v>37101.769767831625</v>
      </c>
      <c r="K270" s="21">
        <f>IF(E270&lt;=0.005,0,IF(Hipoteca!$C$8="Reducir cuota",$K$6-(B270-1),IFERROR(MAX(1,ROUNDUP(NPER(D269/12,-F269,E270),0)),$K$6-(B270-1))))</f>
        <v>55</v>
      </c>
      <c r="L270" s="21">
        <f>YEAR(C270)</f>
        <v>2048</v>
      </c>
      <c r="N270" s="25">
        <f>R269</f>
        <v>64073.479557089064</v>
      </c>
      <c r="O270" s="25">
        <f>IF(N270&lt;=0.005,0,IF(D270&lt;&gt;D269,PMT(D270/12,Hipoteca!$C$5*12-(B270-1),-N270),O269))</f>
        <v>748.6477272887904</v>
      </c>
      <c r="P270" s="25">
        <f>N270*D270/12</f>
        <v>154.84424226296525</v>
      </c>
      <c r="Q270" s="25">
        <f>IF(N270&lt;=0.005,0,MIN(N270,O270-P270))</f>
        <v>593.8034850258251</v>
      </c>
      <c r="R270" s="25">
        <f>MAX(0,N270-Q270)</f>
        <v>63479.67607206324</v>
      </c>
    </row>
    <row r="271" spans="2:18" ht="18" customHeight="1">
      <c r="B271" s="21">
        <f>ROW()-5</f>
        <v>266</v>
      </c>
      <c r="C271" s="22">
        <f>EDATE(Hipoteca!$C$7,B271-1)</f>
        <v>54393.0</v>
      </c>
      <c r="D271" s="23">
        <f>IFERROR(LOOKUP(2,1/((Hipoteca!$E$4:$E$9&lt;&gt;"")*(Hipoteca!$E$4:$E$9&lt;=C271)),Hipoteca!$F$4:$F$9),Hipoteca!$C$6)</f>
        <v>0.029</v>
      </c>
      <c r="E271" s="24">
        <f>J270</f>
        <v>37101.769767831625</v>
      </c>
      <c r="F271" s="24">
        <f>IF(E271&lt;=0.005,0,MIN(E271*(1+D271/12),IF(OR(Hipoteca!$C$8="Reducir cuota",D271&lt;&gt;D270),PMT(D271/12,K271,-E271),F270)))</f>
        <v>746.6003367545769</v>
      </c>
      <c r="G271" s="24">
        <f>E271*D271/12</f>
        <v>89.66261027225977</v>
      </c>
      <c r="H271" s="24">
        <f>IF(E271&lt;=0.005,0,MIN(E271,F271-G271))</f>
        <v>656.9377264823172</v>
      </c>
      <c r="I271" s="24">
        <f>MIN(E271-H271,SUMPRODUCT((YEAR(Hipoteca!$H$4:$H$15)=YEAR(C271))*(MONTH(Hipoteca!$H$4:$H$15)=MONTH(C271))*(Hipoteca!$H$4:$H$15&lt;&gt;"")*Hipoteca!$I$4:$I$15))</f>
        <v>0</v>
      </c>
      <c r="J271" s="24">
        <f>MAX(0,E271-H271-I271)</f>
        <v>36444.832041349306</v>
      </c>
      <c r="K271" s="21">
        <f>IF(E271&lt;=0.005,0,IF(Hipoteca!$C$8="Reducir cuota",$K$6-(B271-1),IFERROR(MAX(1,ROUNDUP(NPER(D270/12,-F270,E271),0)),$K$6-(B271-1))))</f>
        <v>54</v>
      </c>
      <c r="L271" s="21">
        <f>YEAR(C271)</f>
        <v>2048</v>
      </c>
      <c r="N271" s="25">
        <f>R270</f>
        <v>63479.67607206324</v>
      </c>
      <c r="O271" s="25">
        <f>IF(N271&lt;=0.005,0,IF(D271&lt;&gt;D270,PMT(D271/12,Hipoteca!$C$5*12-(B271-1),-N271),O270))</f>
        <v>748.6477272887904</v>
      </c>
      <c r="P271" s="25">
        <f>N271*D271/12</f>
        <v>153.40921717415281</v>
      </c>
      <c r="Q271" s="25">
        <f>IF(N271&lt;=0.005,0,MIN(N271,O271-P271))</f>
        <v>595.2385101146376</v>
      </c>
      <c r="R271" s="25">
        <f>MAX(0,N271-Q271)</f>
        <v>62884.4375619486</v>
      </c>
    </row>
    <row r="272" spans="2:18" ht="18" customHeight="1">
      <c r="B272" s="21">
        <f>ROW()-5</f>
        <v>267</v>
      </c>
      <c r="C272" s="22">
        <f>EDATE(Hipoteca!$C$7,B272-1)</f>
        <v>54424.0</v>
      </c>
      <c r="D272" s="23">
        <f>IFERROR(LOOKUP(2,1/((Hipoteca!$E$4:$E$9&lt;&gt;"")*(Hipoteca!$E$4:$E$9&lt;=C272)),Hipoteca!$F$4:$F$9),Hipoteca!$C$6)</f>
        <v>0.029</v>
      </c>
      <c r="E272" s="24">
        <f>J271</f>
        <v>36444.832041349306</v>
      </c>
      <c r="F272" s="24">
        <f>IF(E272&lt;=0.005,0,MIN(E272*(1+D272/12),IF(OR(Hipoteca!$C$8="Reducir cuota",D272&lt;&gt;D271),PMT(D272/12,K272,-E272),F271)))</f>
        <v>746.6003367545769</v>
      </c>
      <c r="G272" s="24">
        <f>E272*D272/12</f>
        <v>88.07501076659416</v>
      </c>
      <c r="H272" s="24">
        <f>IF(E272&lt;=0.005,0,MIN(E272,F272-G272))</f>
        <v>658.5253259879828</v>
      </c>
      <c r="I272" s="24">
        <f>MIN(E272-H272,SUMPRODUCT((YEAR(Hipoteca!$H$4:$H$15)=YEAR(C272))*(MONTH(Hipoteca!$H$4:$H$15)=MONTH(C272))*(Hipoteca!$H$4:$H$15&lt;&gt;"")*Hipoteca!$I$4:$I$15))</f>
        <v>0</v>
      </c>
      <c r="J272" s="24">
        <f>MAX(0,E272-H272-I272)</f>
        <v>35786.30671536132</v>
      </c>
      <c r="K272" s="21">
        <f>IF(E272&lt;=0.005,0,IF(Hipoteca!$C$8="Reducir cuota",$K$6-(B272-1),IFERROR(MAX(1,ROUNDUP(NPER(D271/12,-F271,E272),0)),$K$6-(B272-1))))</f>
        <v>53</v>
      </c>
      <c r="L272" s="21">
        <f>YEAR(C272)</f>
        <v>2049</v>
      </c>
      <c r="N272" s="25">
        <f>R271</f>
        <v>62884.4375619486</v>
      </c>
      <c r="O272" s="25">
        <f>IF(N272&lt;=0.005,0,IF(D272&lt;&gt;D271,PMT(D272/12,Hipoteca!$C$5*12-(B272-1),-N272),O271))</f>
        <v>748.6477272887904</v>
      </c>
      <c r="P272" s="25">
        <f>N272*D272/12</f>
        <v>151.97072410804245</v>
      </c>
      <c r="Q272" s="25">
        <f>IF(N272&lt;=0.005,0,MIN(N272,O272-P272))</f>
        <v>596.677003180748</v>
      </c>
      <c r="R272" s="25">
        <f>MAX(0,N272-Q272)</f>
        <v>62287.760558767855</v>
      </c>
    </row>
    <row r="273" spans="2:18" ht="18" customHeight="1">
      <c r="B273" s="21">
        <f>ROW()-5</f>
        <v>268</v>
      </c>
      <c r="C273" s="22">
        <f>EDATE(Hipoteca!$C$7,B273-1)</f>
        <v>54455.0</v>
      </c>
      <c r="D273" s="23">
        <f>IFERROR(LOOKUP(2,1/((Hipoteca!$E$4:$E$9&lt;&gt;"")*(Hipoteca!$E$4:$E$9&lt;=C273)),Hipoteca!$F$4:$F$9),Hipoteca!$C$6)</f>
        <v>0.029</v>
      </c>
      <c r="E273" s="24">
        <f>J272</f>
        <v>35786.30671536132</v>
      </c>
      <c r="F273" s="24">
        <f>IF(E273&lt;=0.005,0,MIN(E273*(1+D273/12),IF(OR(Hipoteca!$C$8="Reducir cuota",D273&lt;&gt;D272),PMT(D273/12,K273,-E273),F272)))</f>
        <v>746.6003367545769</v>
      </c>
      <c r="G273" s="24">
        <f>E273*D273/12</f>
        <v>86.4835745621232</v>
      </c>
      <c r="H273" s="24">
        <f>IF(E273&lt;=0.005,0,MIN(E273,F273-G273))</f>
        <v>660.1167621924537</v>
      </c>
      <c r="I273" s="24">
        <f>MIN(E273-H273,SUMPRODUCT((YEAR(Hipoteca!$H$4:$H$15)=YEAR(C273))*(MONTH(Hipoteca!$H$4:$H$15)=MONTH(C273))*(Hipoteca!$H$4:$H$15&lt;&gt;"")*Hipoteca!$I$4:$I$15))</f>
        <v>0</v>
      </c>
      <c r="J273" s="24">
        <f>MAX(0,E273-H273-I273)</f>
        <v>35126.18995316887</v>
      </c>
      <c r="K273" s="21">
        <f>IF(E273&lt;=0.005,0,IF(Hipoteca!$C$8="Reducir cuota",$K$6-(B273-1),IFERROR(MAX(1,ROUNDUP(NPER(D272/12,-F272,E273),0)),$K$6-(B273-1))))</f>
        <v>52</v>
      </c>
      <c r="L273" s="21">
        <f>YEAR(C273)</f>
        <v>2049</v>
      </c>
      <c r="N273" s="25">
        <f>R272</f>
        <v>62287.760558767855</v>
      </c>
      <c r="O273" s="25">
        <f>IF(N273&lt;=0.005,0,IF(D273&lt;&gt;D272,PMT(D273/12,Hipoteca!$C$5*12-(B273-1),-N273),O272))</f>
        <v>748.6477272887904</v>
      </c>
      <c r="P273" s="25">
        <f>N273*D273/12</f>
        <v>150.528754683689</v>
      </c>
      <c r="Q273" s="25">
        <f>IF(N273&lt;=0.005,0,MIN(N273,O273-P273))</f>
        <v>598.1189726051014</v>
      </c>
      <c r="R273" s="25">
        <f>MAX(0,N273-Q273)</f>
        <v>61689.641586162754</v>
      </c>
    </row>
    <row r="274" spans="2:18" ht="18" customHeight="1">
      <c r="B274" s="21">
        <f>ROW()-5</f>
        <v>269</v>
      </c>
      <c r="C274" s="22">
        <f>EDATE(Hipoteca!$C$7,B274-1)</f>
        <v>54483.0</v>
      </c>
      <c r="D274" s="23">
        <f>IFERROR(LOOKUP(2,1/((Hipoteca!$E$4:$E$9&lt;&gt;"")*(Hipoteca!$E$4:$E$9&lt;=C274)),Hipoteca!$F$4:$F$9),Hipoteca!$C$6)</f>
        <v>0.029</v>
      </c>
      <c r="E274" s="24">
        <f>J273</f>
        <v>35126.18995316887</v>
      </c>
      <c r="F274" s="24">
        <f>IF(E274&lt;=0.005,0,MIN(E274*(1+D274/12),IF(OR(Hipoteca!$C$8="Reducir cuota",D274&lt;&gt;D273),PMT(D274/12,K274,-E274),F273)))</f>
        <v>746.6003367545769</v>
      </c>
      <c r="G274" s="24">
        <f>E274*D274/12</f>
        <v>84.88829238682477</v>
      </c>
      <c r="H274" s="24">
        <f>IF(E274&lt;=0.005,0,MIN(E274,F274-G274))</f>
        <v>661.7120443677521</v>
      </c>
      <c r="I274" s="24">
        <f>MIN(E274-H274,SUMPRODUCT((YEAR(Hipoteca!$H$4:$H$15)=YEAR(C274))*(MONTH(Hipoteca!$H$4:$H$15)=MONTH(C274))*(Hipoteca!$H$4:$H$15&lt;&gt;"")*Hipoteca!$I$4:$I$15))</f>
        <v>0</v>
      </c>
      <c r="J274" s="24">
        <f>MAX(0,E274-H274-I274)</f>
        <v>34464.47790880112</v>
      </c>
      <c r="K274" s="21">
        <f>IF(E274&lt;=0.005,0,IF(Hipoteca!$C$8="Reducir cuota",$K$6-(B274-1),IFERROR(MAX(1,ROUNDUP(NPER(D273/12,-F273,E274),0)),$K$6-(B274-1))))</f>
        <v>51</v>
      </c>
      <c r="L274" s="21">
        <f>YEAR(C274)</f>
        <v>2049</v>
      </c>
      <c r="N274" s="25">
        <f>R273</f>
        <v>61689.641586162754</v>
      </c>
      <c r="O274" s="25">
        <f>IF(N274&lt;=0.005,0,IF(D274&lt;&gt;D273,PMT(D274/12,Hipoteca!$C$5*12-(B274-1),-N274),O273))</f>
        <v>748.6477272887904</v>
      </c>
      <c r="P274" s="25">
        <f>N274*D274/12</f>
        <v>149.08330049989334</v>
      </c>
      <c r="Q274" s="25">
        <f>IF(N274&lt;=0.005,0,MIN(N274,O274-P274))</f>
        <v>599.5644267888971</v>
      </c>
      <c r="R274" s="25">
        <f>MAX(0,N274-Q274)</f>
        <v>61090.077159373854</v>
      </c>
    </row>
    <row r="275" spans="2:18" ht="18" customHeight="1">
      <c r="B275" s="21">
        <f>ROW()-5</f>
        <v>270</v>
      </c>
      <c r="C275" s="22">
        <f>EDATE(Hipoteca!$C$7,B275-1)</f>
        <v>54514.0</v>
      </c>
      <c r="D275" s="23">
        <f>IFERROR(LOOKUP(2,1/((Hipoteca!$E$4:$E$9&lt;&gt;"")*(Hipoteca!$E$4:$E$9&lt;=C275)),Hipoteca!$F$4:$F$9),Hipoteca!$C$6)</f>
        <v>0.029</v>
      </c>
      <c r="E275" s="24">
        <f>J274</f>
        <v>34464.47790880112</v>
      </c>
      <c r="F275" s="24">
        <f>IF(E275&lt;=0.005,0,MIN(E275*(1+D275/12),IF(OR(Hipoteca!$C$8="Reducir cuota",D275&lt;&gt;D274),PMT(D275/12,K275,-E275),F274)))</f>
        <v>746.6003367545769</v>
      </c>
      <c r="G275" s="24">
        <f>E275*D275/12</f>
        <v>83.28915494626938</v>
      </c>
      <c r="H275" s="24">
        <f>IF(E275&lt;=0.005,0,MIN(E275,F275-G275))</f>
        <v>663.3111818083075</v>
      </c>
      <c r="I275" s="24">
        <f>MIN(E275-H275,SUMPRODUCT((YEAR(Hipoteca!$H$4:$H$15)=YEAR(C275))*(MONTH(Hipoteca!$H$4:$H$15)=MONTH(C275))*(Hipoteca!$H$4:$H$15&lt;&gt;"")*Hipoteca!$I$4:$I$15))</f>
        <v>0</v>
      </c>
      <c r="J275" s="24">
        <f>MAX(0,E275-H275-I275)</f>
        <v>33801.166726992815</v>
      </c>
      <c r="K275" s="21">
        <f>IF(E275&lt;=0.005,0,IF(Hipoteca!$C$8="Reducir cuota",$K$6-(B275-1),IFERROR(MAX(1,ROUNDUP(NPER(D274/12,-F274,E275),0)),$K$6-(B275-1))))</f>
        <v>50</v>
      </c>
      <c r="L275" s="21">
        <f>YEAR(C275)</f>
        <v>2049</v>
      </c>
      <c r="N275" s="25">
        <f>R274</f>
        <v>61090.077159373854</v>
      </c>
      <c r="O275" s="25">
        <f>IF(N275&lt;=0.005,0,IF(D275&lt;&gt;D274,PMT(D275/12,Hipoteca!$C$5*12-(B275-1),-N275),O274))</f>
        <v>748.6477272887904</v>
      </c>
      <c r="P275" s="25">
        <f>N275*D275/12</f>
        <v>147.63435313515348</v>
      </c>
      <c r="Q275" s="25">
        <f>IF(N275&lt;=0.005,0,MIN(N275,O275-P275))</f>
        <v>601.013374153637</v>
      </c>
      <c r="R275" s="25">
        <f>MAX(0,N275-Q275)</f>
        <v>60489.06378522022</v>
      </c>
    </row>
    <row r="276" spans="2:18" ht="18" customHeight="1">
      <c r="B276" s="21">
        <f>ROW()-5</f>
        <v>271</v>
      </c>
      <c r="C276" s="22">
        <f>EDATE(Hipoteca!$C$7,B276-1)</f>
        <v>54544.0</v>
      </c>
      <c r="D276" s="23">
        <f>IFERROR(LOOKUP(2,1/((Hipoteca!$E$4:$E$9&lt;&gt;"")*(Hipoteca!$E$4:$E$9&lt;=C276)),Hipoteca!$F$4:$F$9),Hipoteca!$C$6)</f>
        <v>0.029</v>
      </c>
      <c r="E276" s="24">
        <f>J275</f>
        <v>33801.166726992815</v>
      </c>
      <c r="F276" s="24">
        <f>IF(E276&lt;=0.005,0,MIN(E276*(1+D276/12),IF(OR(Hipoteca!$C$8="Reducir cuota",D276&lt;&gt;D275),PMT(D276/12,K276,-E276),F275)))</f>
        <v>746.6003367545769</v>
      </c>
      <c r="G276" s="24">
        <f>E276*D276/12</f>
        <v>81.68615292356597</v>
      </c>
      <c r="H276" s="24">
        <f>IF(E276&lt;=0.005,0,MIN(E276,F276-G276))</f>
        <v>664.914183831011</v>
      </c>
      <c r="I276" s="24">
        <f>MIN(E276-H276,SUMPRODUCT((YEAR(Hipoteca!$H$4:$H$15)=YEAR(C276))*(MONTH(Hipoteca!$H$4:$H$15)=MONTH(C276))*(Hipoteca!$H$4:$H$15&lt;&gt;"")*Hipoteca!$I$4:$I$15))</f>
        <v>0</v>
      </c>
      <c r="J276" s="24">
        <f>MAX(0,E276-H276-I276)</f>
        <v>33136.252543161805</v>
      </c>
      <c r="K276" s="21">
        <f>IF(E276&lt;=0.005,0,IF(Hipoteca!$C$8="Reducir cuota",$K$6-(B276-1),IFERROR(MAX(1,ROUNDUP(NPER(D275/12,-F275,E276),0)),$K$6-(B276-1))))</f>
        <v>49</v>
      </c>
      <c r="L276" s="21">
        <f>YEAR(C276)</f>
        <v>2049</v>
      </c>
      <c r="N276" s="25">
        <f>R275</f>
        <v>60489.06378522022</v>
      </c>
      <c r="O276" s="25">
        <f>IF(N276&lt;=0.005,0,IF(D276&lt;&gt;D275,PMT(D276/12,Hipoteca!$C$5*12-(B276-1),-N276),O275))</f>
        <v>748.6477272887904</v>
      </c>
      <c r="P276" s="25">
        <f>N276*D276/12</f>
        <v>146.18190414761554</v>
      </c>
      <c r="Q276" s="25">
        <f>IF(N276&lt;=0.005,0,MIN(N276,O276-P276))</f>
        <v>602.4658231411748</v>
      </c>
      <c r="R276" s="25">
        <f>MAX(0,N276-Q276)</f>
        <v>59886.597962079046</v>
      </c>
    </row>
    <row r="277" spans="2:18" ht="18" customHeight="1">
      <c r="B277" s="21">
        <f>ROW()-5</f>
        <v>272</v>
      </c>
      <c r="C277" s="22">
        <f>EDATE(Hipoteca!$C$7,B277-1)</f>
        <v>54575.0</v>
      </c>
      <c r="D277" s="23">
        <f>IFERROR(LOOKUP(2,1/((Hipoteca!$E$4:$E$9&lt;&gt;"")*(Hipoteca!$E$4:$E$9&lt;=C277)),Hipoteca!$F$4:$F$9),Hipoteca!$C$6)</f>
        <v>0.029</v>
      </c>
      <c r="E277" s="24">
        <f>J276</f>
        <v>33136.252543161805</v>
      </c>
      <c r="F277" s="24">
        <f>IF(E277&lt;=0.005,0,MIN(E277*(1+D277/12),IF(OR(Hipoteca!$C$8="Reducir cuota",D277&lt;&gt;D276),PMT(D277/12,K277,-E277),F276)))</f>
        <v>746.6003367545769</v>
      </c>
      <c r="G277" s="24">
        <f>E277*D277/12</f>
        <v>80.07927697930769</v>
      </c>
      <c r="H277" s="24">
        <f>IF(E277&lt;=0.005,0,MIN(E277,F277-G277))</f>
        <v>666.5210597752692</v>
      </c>
      <c r="I277" s="24">
        <f>MIN(E277-H277,SUMPRODUCT((YEAR(Hipoteca!$H$4:$H$15)=YEAR(C277))*(MONTH(Hipoteca!$H$4:$H$15)=MONTH(C277))*(Hipoteca!$H$4:$H$15&lt;&gt;"")*Hipoteca!$I$4:$I$15))</f>
        <v>0</v>
      </c>
      <c r="J277" s="24">
        <f>MAX(0,E277-H277-I277)</f>
        <v>32469.731483386535</v>
      </c>
      <c r="K277" s="21">
        <f>IF(E277&lt;=0.005,0,IF(Hipoteca!$C$8="Reducir cuota",$K$6-(B277-1),IFERROR(MAX(1,ROUNDUP(NPER(D276/12,-F276,E277),0)),$K$6-(B277-1))))</f>
        <v>48</v>
      </c>
      <c r="L277" s="21">
        <f>YEAR(C277)</f>
        <v>2049</v>
      </c>
      <c r="N277" s="25">
        <f>R276</f>
        <v>59886.597962079046</v>
      </c>
      <c r="O277" s="25">
        <f>IF(N277&lt;=0.005,0,IF(D277&lt;&gt;D276,PMT(D277/12,Hipoteca!$C$5*12-(B277-1),-N277),O276))</f>
        <v>748.6477272887904</v>
      </c>
      <c r="P277" s="25">
        <f>N277*D277/12</f>
        <v>144.72594507502438</v>
      </c>
      <c r="Q277" s="25">
        <f>IF(N277&lt;=0.005,0,MIN(N277,O277-P277))</f>
        <v>603.921782213766</v>
      </c>
      <c r="R277" s="25">
        <f>MAX(0,N277-Q277)</f>
        <v>59282.67617986528</v>
      </c>
    </row>
    <row r="278" spans="2:18" ht="18" customHeight="1">
      <c r="B278" s="21">
        <f>ROW()-5</f>
        <v>273</v>
      </c>
      <c r="C278" s="22">
        <f>EDATE(Hipoteca!$C$7,B278-1)</f>
        <v>54605.0</v>
      </c>
      <c r="D278" s="23">
        <f>IFERROR(LOOKUP(2,1/((Hipoteca!$E$4:$E$9&lt;&gt;"")*(Hipoteca!$E$4:$E$9&lt;=C278)),Hipoteca!$F$4:$F$9),Hipoteca!$C$6)</f>
        <v>0.029</v>
      </c>
      <c r="E278" s="24">
        <f>J277</f>
        <v>32469.731483386535</v>
      </c>
      <c r="F278" s="24">
        <f>IF(E278&lt;=0.005,0,MIN(E278*(1+D278/12),IF(OR(Hipoteca!$C$8="Reducir cuota",D278&lt;&gt;D277),PMT(D278/12,K278,-E278),F277)))</f>
        <v>746.6003367545769</v>
      </c>
      <c r="G278" s="24">
        <f>E278*D278/12</f>
        <v>78.46851775151747</v>
      </c>
      <c r="H278" s="24">
        <f>IF(E278&lt;=0.005,0,MIN(E278,F278-G278))</f>
        <v>668.1318190030595</v>
      </c>
      <c r="I278" s="24">
        <f>MIN(E278-H278,SUMPRODUCT((YEAR(Hipoteca!$H$4:$H$15)=YEAR(C278))*(MONTH(Hipoteca!$H$4:$H$15)=MONTH(C278))*(Hipoteca!$H$4:$H$15&lt;&gt;"")*Hipoteca!$I$4:$I$15))</f>
        <v>0</v>
      </c>
      <c r="J278" s="24">
        <f>MAX(0,E278-H278-I278)</f>
        <v>31801.599664383477</v>
      </c>
      <c r="K278" s="21">
        <f>IF(E278&lt;=0.005,0,IF(Hipoteca!$C$8="Reducir cuota",$K$6-(B278-1),IFERROR(MAX(1,ROUNDUP(NPER(D277/12,-F277,E278),0)),$K$6-(B278-1))))</f>
        <v>47</v>
      </c>
      <c r="L278" s="21">
        <f>YEAR(C278)</f>
        <v>2049</v>
      </c>
      <c r="N278" s="25">
        <f>R277</f>
        <v>59282.67617986528</v>
      </c>
      <c r="O278" s="25">
        <f>IF(N278&lt;=0.005,0,IF(D278&lt;&gt;D277,PMT(D278/12,Hipoteca!$C$5*12-(B278-1),-N278),O277))</f>
        <v>748.6477272887904</v>
      </c>
      <c r="P278" s="25">
        <f>N278*D278/12</f>
        <v>143.26646743467444</v>
      </c>
      <c r="Q278" s="25">
        <f>IF(N278&lt;=0.005,0,MIN(N278,O278-P278))</f>
        <v>605.381259854116</v>
      </c>
      <c r="R278" s="25">
        <f>MAX(0,N278-Q278)</f>
        <v>58677.29492001116</v>
      </c>
    </row>
    <row r="279" spans="2:18" ht="18" customHeight="1">
      <c r="B279" s="21">
        <f>ROW()-5</f>
        <v>274</v>
      </c>
      <c r="C279" s="22">
        <f>EDATE(Hipoteca!$C$7,B279-1)</f>
        <v>54636.0</v>
      </c>
      <c r="D279" s="23">
        <f>IFERROR(LOOKUP(2,1/((Hipoteca!$E$4:$E$9&lt;&gt;"")*(Hipoteca!$E$4:$E$9&lt;=C279)),Hipoteca!$F$4:$F$9),Hipoteca!$C$6)</f>
        <v>0.029</v>
      </c>
      <c r="E279" s="24">
        <f>J278</f>
        <v>31801.599664383477</v>
      </c>
      <c r="F279" s="24">
        <f>IF(E279&lt;=0.005,0,MIN(E279*(1+D279/12),IF(OR(Hipoteca!$C$8="Reducir cuota",D279&lt;&gt;D278),PMT(D279/12,K279,-E279),F278)))</f>
        <v>746.6003367545769</v>
      </c>
      <c r="G279" s="24">
        <f>E279*D279/12</f>
        <v>76.85386585559341</v>
      </c>
      <c r="H279" s="24">
        <f>IF(E279&lt;=0.005,0,MIN(E279,F279-G279))</f>
        <v>669.7464708989835</v>
      </c>
      <c r="I279" s="24">
        <f>MIN(E279-H279,SUMPRODUCT((YEAR(Hipoteca!$H$4:$H$15)=YEAR(C279))*(MONTH(Hipoteca!$H$4:$H$15)=MONTH(C279))*(Hipoteca!$H$4:$H$15&lt;&gt;"")*Hipoteca!$I$4:$I$15))</f>
        <v>0</v>
      </c>
      <c r="J279" s="24">
        <f>MAX(0,E279-H279-I279)</f>
        <v>31131.853193484494</v>
      </c>
      <c r="K279" s="21">
        <f>IF(E279&lt;=0.005,0,IF(Hipoteca!$C$8="Reducir cuota",$K$6-(B279-1),IFERROR(MAX(1,ROUNDUP(NPER(D278/12,-F278,E279),0)),$K$6-(B279-1))))</f>
        <v>46</v>
      </c>
      <c r="L279" s="21">
        <f>YEAR(C279)</f>
        <v>2049</v>
      </c>
      <c r="N279" s="25">
        <f>R278</f>
        <v>58677.29492001116</v>
      </c>
      <c r="O279" s="25">
        <f>IF(N279&lt;=0.005,0,IF(D279&lt;&gt;D278,PMT(D279/12,Hipoteca!$C$5*12-(B279-1),-N279),O278))</f>
        <v>748.6477272887904</v>
      </c>
      <c r="P279" s="25">
        <f>N279*D279/12</f>
        <v>141.8034627233603</v>
      </c>
      <c r="Q279" s="25">
        <f>IF(N279&lt;=0.005,0,MIN(N279,O279-P279))</f>
        <v>606.8442645654301</v>
      </c>
      <c r="R279" s="25">
        <f>MAX(0,N279-Q279)</f>
        <v>58070.45065544573</v>
      </c>
    </row>
    <row r="280" spans="2:18" ht="18" customHeight="1">
      <c r="B280" s="21">
        <f>ROW()-5</f>
        <v>275</v>
      </c>
      <c r="C280" s="22">
        <f>EDATE(Hipoteca!$C$7,B280-1)</f>
        <v>54667.0</v>
      </c>
      <c r="D280" s="23">
        <f>IFERROR(LOOKUP(2,1/((Hipoteca!$E$4:$E$9&lt;&gt;"")*(Hipoteca!$E$4:$E$9&lt;=C280)),Hipoteca!$F$4:$F$9),Hipoteca!$C$6)</f>
        <v>0.029</v>
      </c>
      <c r="E280" s="24">
        <f>J279</f>
        <v>31131.853193484494</v>
      </c>
      <c r="F280" s="24">
        <f>IF(E280&lt;=0.005,0,MIN(E280*(1+D280/12),IF(OR(Hipoteca!$C$8="Reducir cuota",D280&lt;&gt;D279),PMT(D280/12,K280,-E280),F279)))</f>
        <v>746.6003367545769</v>
      </c>
      <c r="G280" s="24">
        <f>E280*D280/12</f>
        <v>75.2353118842542</v>
      </c>
      <c r="H280" s="24">
        <f>IF(E280&lt;=0.005,0,MIN(E280,F280-G280))</f>
        <v>671.3650248703227</v>
      </c>
      <c r="I280" s="24">
        <f>MIN(E280-H280,SUMPRODUCT((YEAR(Hipoteca!$H$4:$H$15)=YEAR(C280))*(MONTH(Hipoteca!$H$4:$H$15)=MONTH(C280))*(Hipoteca!$H$4:$H$15&lt;&gt;"")*Hipoteca!$I$4:$I$15))</f>
        <v>0</v>
      </c>
      <c r="J280" s="24">
        <f>MAX(0,E280-H280-I280)</f>
        <v>30460.48816861417</v>
      </c>
      <c r="K280" s="21">
        <f>IF(E280&lt;=0.005,0,IF(Hipoteca!$C$8="Reducir cuota",$K$6-(B280-1),IFERROR(MAX(1,ROUNDUP(NPER(D279/12,-F279,E280),0)),$K$6-(B280-1))))</f>
        <v>45</v>
      </c>
      <c r="L280" s="21">
        <f>YEAR(C280)</f>
        <v>2049</v>
      </c>
      <c r="N280" s="25">
        <f>R279</f>
        <v>58070.45065544573</v>
      </c>
      <c r="O280" s="25">
        <f>IF(N280&lt;=0.005,0,IF(D280&lt;&gt;D279,PMT(D280/12,Hipoteca!$C$5*12-(B280-1),-N280),O279))</f>
        <v>748.6477272887904</v>
      </c>
      <c r="P280" s="25">
        <f>N280*D280/12</f>
        <v>140.3369224173272</v>
      </c>
      <c r="Q280" s="25">
        <f>IF(N280&lt;=0.005,0,MIN(N280,O280-P280))</f>
        <v>608.3108048714632</v>
      </c>
      <c r="R280" s="25">
        <f>MAX(0,N280-Q280)</f>
        <v>57462.13985057427</v>
      </c>
    </row>
    <row r="281" spans="2:18" ht="18" customHeight="1">
      <c r="B281" s="21">
        <f>ROW()-5</f>
        <v>276</v>
      </c>
      <c r="C281" s="22">
        <f>EDATE(Hipoteca!$C$7,B281-1)</f>
        <v>54697.0</v>
      </c>
      <c r="D281" s="23">
        <f>IFERROR(LOOKUP(2,1/((Hipoteca!$E$4:$E$9&lt;&gt;"")*(Hipoteca!$E$4:$E$9&lt;=C281)),Hipoteca!$F$4:$F$9),Hipoteca!$C$6)</f>
        <v>0.029</v>
      </c>
      <c r="E281" s="24">
        <f>J280</f>
        <v>30460.48816861417</v>
      </c>
      <c r="F281" s="24">
        <f>IF(E281&lt;=0.005,0,MIN(E281*(1+D281/12),IF(OR(Hipoteca!$C$8="Reducir cuota",D281&lt;&gt;D280),PMT(D281/12,K281,-E281),F280)))</f>
        <v>746.6003367545769</v>
      </c>
      <c r="G281" s="24">
        <f>E281*D281/12</f>
        <v>73.61284640748424</v>
      </c>
      <c r="H281" s="24">
        <f>IF(E281&lt;=0.005,0,MIN(E281,F281-G281))</f>
        <v>672.9874903470927</v>
      </c>
      <c r="I281" s="24">
        <f>MIN(E281-H281,SUMPRODUCT((YEAR(Hipoteca!$H$4:$H$15)=YEAR(C281))*(MONTH(Hipoteca!$H$4:$H$15)=MONTH(C281))*(Hipoteca!$H$4:$H$15&lt;&gt;"")*Hipoteca!$I$4:$I$15))</f>
        <v>0</v>
      </c>
      <c r="J281" s="24">
        <f>MAX(0,E281-H281-I281)</f>
        <v>29787.50067826708</v>
      </c>
      <c r="K281" s="21">
        <f>IF(E281&lt;=0.005,0,IF(Hipoteca!$C$8="Reducir cuota",$K$6-(B281-1),IFERROR(MAX(1,ROUNDUP(NPER(D280/12,-F280,E281),0)),$K$6-(B281-1))))</f>
        <v>44</v>
      </c>
      <c r="L281" s="21">
        <f>YEAR(C281)</f>
        <v>2049</v>
      </c>
      <c r="N281" s="25">
        <f>R280</f>
        <v>57462.13985057427</v>
      </c>
      <c r="O281" s="25">
        <f>IF(N281&lt;=0.005,0,IF(D281&lt;&gt;D280,PMT(D281/12,Hipoteca!$C$5*12-(B281-1),-N281),O280))</f>
        <v>748.6477272887904</v>
      </c>
      <c r="P281" s="25">
        <f>N281*D281/12</f>
        <v>138.86683797222116</v>
      </c>
      <c r="Q281" s="25">
        <f>IF(N281&lt;=0.005,0,MIN(N281,O281-P281))</f>
        <v>609.7808893165693</v>
      </c>
      <c r="R281" s="25">
        <f>MAX(0,N281-Q281)</f>
        <v>56852.3589612577</v>
      </c>
    </row>
    <row r="282" spans="2:18" ht="18" customHeight="1">
      <c r="B282" s="21">
        <f>ROW()-5</f>
        <v>277</v>
      </c>
      <c r="C282" s="22">
        <f>EDATE(Hipoteca!$C$7,B282-1)</f>
        <v>54728.0</v>
      </c>
      <c r="D282" s="23">
        <f>IFERROR(LOOKUP(2,1/((Hipoteca!$E$4:$E$9&lt;&gt;"")*(Hipoteca!$E$4:$E$9&lt;=C282)),Hipoteca!$F$4:$F$9),Hipoteca!$C$6)</f>
        <v>0.029</v>
      </c>
      <c r="E282" s="24">
        <f>J281</f>
        <v>29787.50067826708</v>
      </c>
      <c r="F282" s="24">
        <f>IF(E282&lt;=0.005,0,MIN(E282*(1+D282/12),IF(OR(Hipoteca!$C$8="Reducir cuota",D282&lt;&gt;D281),PMT(D282/12,K282,-E282),F281)))</f>
        <v>746.6003367545769</v>
      </c>
      <c r="G282" s="24">
        <f>E282*D282/12</f>
        <v>71.98645997247878</v>
      </c>
      <c r="H282" s="24">
        <f>IF(E282&lt;=0.005,0,MIN(E282,F282-G282))</f>
        <v>674.6138767820981</v>
      </c>
      <c r="I282" s="24">
        <f>MIN(E282-H282,SUMPRODUCT((YEAR(Hipoteca!$H$4:$H$15)=YEAR(C282))*(MONTH(Hipoteca!$H$4:$H$15)=MONTH(C282))*(Hipoteca!$H$4:$H$15&lt;&gt;"")*Hipoteca!$I$4:$I$15))</f>
        <v>0</v>
      </c>
      <c r="J282" s="24">
        <f>MAX(0,E282-H282-I282)</f>
        <v>29112.88680148498</v>
      </c>
      <c r="K282" s="21">
        <f>IF(E282&lt;=0.005,0,IF(Hipoteca!$C$8="Reducir cuota",$K$6-(B282-1),IFERROR(MAX(1,ROUNDUP(NPER(D281/12,-F281,E282),0)),$K$6-(B282-1))))</f>
        <v>43</v>
      </c>
      <c r="L282" s="21">
        <f>YEAR(C282)</f>
        <v>2049</v>
      </c>
      <c r="N282" s="25">
        <f>R281</f>
        <v>56852.3589612577</v>
      </c>
      <c r="O282" s="25">
        <f>IF(N282&lt;=0.005,0,IF(D282&lt;&gt;D281,PMT(D282/12,Hipoteca!$C$5*12-(B282-1),-N282),O281))</f>
        <v>748.6477272887904</v>
      </c>
      <c r="P282" s="25">
        <f>N282*D282/12</f>
        <v>137.39320082303945</v>
      </c>
      <c r="Q282" s="25">
        <f>IF(N282&lt;=0.005,0,MIN(N282,O282-P282))</f>
        <v>611.2545264657509</v>
      </c>
      <c r="R282" s="25">
        <f>MAX(0,N282-Q282)</f>
        <v>56241.104434791945</v>
      </c>
    </row>
    <row r="283" spans="2:18" ht="18" customHeight="1">
      <c r="B283" s="21">
        <f>ROW()-5</f>
        <v>278</v>
      </c>
      <c r="C283" s="22">
        <f>EDATE(Hipoteca!$C$7,B283-1)</f>
        <v>54758.0</v>
      </c>
      <c r="D283" s="23">
        <f>IFERROR(LOOKUP(2,1/((Hipoteca!$E$4:$E$9&lt;&gt;"")*(Hipoteca!$E$4:$E$9&lt;=C283)),Hipoteca!$F$4:$F$9),Hipoteca!$C$6)</f>
        <v>0.029</v>
      </c>
      <c r="E283" s="24">
        <f>J282</f>
        <v>29112.88680148498</v>
      </c>
      <c r="F283" s="24">
        <f>IF(E283&lt;=0.005,0,MIN(E283*(1+D283/12),IF(OR(Hipoteca!$C$8="Reducir cuota",D283&lt;&gt;D282),PMT(D283/12,K283,-E283),F282)))</f>
        <v>746.6003367545769</v>
      </c>
      <c r="G283" s="24">
        <f>E283*D283/12</f>
        <v>70.3561431035887</v>
      </c>
      <c r="H283" s="24">
        <f>IF(E283&lt;=0.005,0,MIN(E283,F283-G283))</f>
        <v>676.2441936509882</v>
      </c>
      <c r="I283" s="24">
        <f>MIN(E283-H283,SUMPRODUCT((YEAR(Hipoteca!$H$4:$H$15)=YEAR(C283))*(MONTH(Hipoteca!$H$4:$H$15)=MONTH(C283))*(Hipoteca!$H$4:$H$15&lt;&gt;"")*Hipoteca!$I$4:$I$15))</f>
        <v>0</v>
      </c>
      <c r="J283" s="24">
        <f>MAX(0,E283-H283-I283)</f>
        <v>28436.64260783399</v>
      </c>
      <c r="K283" s="21">
        <f>IF(E283&lt;=0.005,0,IF(Hipoteca!$C$8="Reducir cuota",$K$6-(B283-1),IFERROR(MAX(1,ROUNDUP(NPER(D282/12,-F282,E283),0)),$K$6-(B283-1))))</f>
        <v>42</v>
      </c>
      <c r="L283" s="21">
        <f>YEAR(C283)</f>
        <v>2049</v>
      </c>
      <c r="N283" s="25">
        <f>R282</f>
        <v>56241.104434791945</v>
      </c>
      <c r="O283" s="25">
        <f>IF(N283&lt;=0.005,0,IF(D283&lt;&gt;D282,PMT(D283/12,Hipoteca!$C$5*12-(B283-1),-N283),O282))</f>
        <v>748.6477272887904</v>
      </c>
      <c r="P283" s="25">
        <f>N283*D283/12</f>
        <v>135.91600238408054</v>
      </c>
      <c r="Q283" s="25">
        <f>IF(N283&lt;=0.005,0,MIN(N283,O283-P283))</f>
        <v>612.7317249047098</v>
      </c>
      <c r="R283" s="25">
        <f>MAX(0,N283-Q283)</f>
        <v>55628.37270988723</v>
      </c>
    </row>
    <row r="284" spans="2:18" ht="18" customHeight="1">
      <c r="B284" s="21">
        <f>ROW()-5</f>
        <v>279</v>
      </c>
      <c r="C284" s="22">
        <f>EDATE(Hipoteca!$C$7,B284-1)</f>
        <v>54789.0</v>
      </c>
      <c r="D284" s="23">
        <f>IFERROR(LOOKUP(2,1/((Hipoteca!$E$4:$E$9&lt;&gt;"")*(Hipoteca!$E$4:$E$9&lt;=C284)),Hipoteca!$F$4:$F$9),Hipoteca!$C$6)</f>
        <v>0.029</v>
      </c>
      <c r="E284" s="24">
        <f>J283</f>
        <v>28436.64260783399</v>
      </c>
      <c r="F284" s="24">
        <f>IF(E284&lt;=0.005,0,MIN(E284*(1+D284/12),IF(OR(Hipoteca!$C$8="Reducir cuota",D284&lt;&gt;D283),PMT(D284/12,K284,-E284),F283)))</f>
        <v>746.6003367545769</v>
      </c>
      <c r="G284" s="24">
        <f>E284*D284/12</f>
        <v>68.72188630226547</v>
      </c>
      <c r="H284" s="24">
        <f>IF(E284&lt;=0.005,0,MIN(E284,F284-G284))</f>
        <v>677.8784504523114</v>
      </c>
      <c r="I284" s="24">
        <f>MIN(E284-H284,SUMPRODUCT((YEAR(Hipoteca!$H$4:$H$15)=YEAR(C284))*(MONTH(Hipoteca!$H$4:$H$15)=MONTH(C284))*(Hipoteca!$H$4:$H$15&lt;&gt;"")*Hipoteca!$I$4:$I$15))</f>
        <v>0</v>
      </c>
      <c r="J284" s="24">
        <f>MAX(0,E284-H284-I284)</f>
        <v>27758.76415738168</v>
      </c>
      <c r="K284" s="21">
        <f>IF(E284&lt;=0.005,0,IF(Hipoteca!$C$8="Reducir cuota",$K$6-(B284-1),IFERROR(MAX(1,ROUNDUP(NPER(D283/12,-F283,E284),0)),$K$6-(B284-1))))</f>
        <v>41</v>
      </c>
      <c r="L284" s="21">
        <f>YEAR(C284)</f>
        <v>2050</v>
      </c>
      <c r="N284" s="25">
        <f>R283</f>
        <v>55628.37270988723</v>
      </c>
      <c r="O284" s="25">
        <f>IF(N284&lt;=0.005,0,IF(D284&lt;&gt;D283,PMT(D284/12,Hipoteca!$C$5*12-(B284-1),-N284),O283))</f>
        <v>748.6477272887904</v>
      </c>
      <c r="P284" s="25">
        <f>N284*D284/12</f>
        <v>134.43523404889416</v>
      </c>
      <c r="Q284" s="25">
        <f>IF(N284&lt;=0.005,0,MIN(N284,O284-P284))</f>
        <v>614.2124932398963</v>
      </c>
      <c r="R284" s="25">
        <f>MAX(0,N284-Q284)</f>
        <v>55014.16021664734</v>
      </c>
    </row>
    <row r="285" spans="2:18" ht="18" customHeight="1">
      <c r="B285" s="21">
        <f>ROW()-5</f>
        <v>280</v>
      </c>
      <c r="C285" s="22">
        <f>EDATE(Hipoteca!$C$7,B285-1)</f>
        <v>54820.0</v>
      </c>
      <c r="D285" s="23">
        <f>IFERROR(LOOKUP(2,1/((Hipoteca!$E$4:$E$9&lt;&gt;"")*(Hipoteca!$E$4:$E$9&lt;=C285)),Hipoteca!$F$4:$F$9),Hipoteca!$C$6)</f>
        <v>0.029</v>
      </c>
      <c r="E285" s="24">
        <f>J284</f>
        <v>27758.76415738168</v>
      </c>
      <c r="F285" s="24">
        <f>IF(E285&lt;=0.005,0,MIN(E285*(1+D285/12),IF(OR(Hipoteca!$C$8="Reducir cuota",D285&lt;&gt;D284),PMT(D285/12,K285,-E285),F284)))</f>
        <v>746.6003367545769</v>
      </c>
      <c r="G285" s="24">
        <f>E285*D285/12</f>
        <v>67.08368004700573</v>
      </c>
      <c r="H285" s="24">
        <f>IF(E285&lt;=0.005,0,MIN(E285,F285-G285))</f>
        <v>679.5166567075712</v>
      </c>
      <c r="I285" s="24">
        <f>MIN(E285-H285,SUMPRODUCT((YEAR(Hipoteca!$H$4:$H$15)=YEAR(C285))*(MONTH(Hipoteca!$H$4:$H$15)=MONTH(C285))*(Hipoteca!$H$4:$H$15&lt;&gt;"")*Hipoteca!$I$4:$I$15))</f>
        <v>0</v>
      </c>
      <c r="J285" s="24">
        <f>MAX(0,E285-H285-I285)</f>
        <v>27079.247500674108</v>
      </c>
      <c r="K285" s="21">
        <f>IF(E285&lt;=0.005,0,IF(Hipoteca!$C$8="Reducir cuota",$K$6-(B285-1),IFERROR(MAX(1,ROUNDUP(NPER(D284/12,-F284,E285),0)),$K$6-(B285-1))))</f>
        <v>40</v>
      </c>
      <c r="L285" s="21">
        <f>YEAR(C285)</f>
        <v>2050</v>
      </c>
      <c r="N285" s="25">
        <f>R284</f>
        <v>55014.16021664734</v>
      </c>
      <c r="O285" s="25">
        <f>IF(N285&lt;=0.005,0,IF(D285&lt;&gt;D284,PMT(D285/12,Hipoteca!$C$5*12-(B285-1),-N285),O284))</f>
        <v>748.6477272887904</v>
      </c>
      <c r="P285" s="25">
        <f>N285*D285/12</f>
        <v>132.95088719023107</v>
      </c>
      <c r="Q285" s="25">
        <f>IF(N285&lt;=0.005,0,MIN(N285,O285-P285))</f>
        <v>615.6968400985593</v>
      </c>
      <c r="R285" s="25">
        <f>MAX(0,N285-Q285)</f>
        <v>54398.46337654878</v>
      </c>
    </row>
    <row r="286" spans="2:18" ht="18" customHeight="1">
      <c r="B286" s="21">
        <f>ROW()-5</f>
        <v>281</v>
      </c>
      <c r="C286" s="22">
        <f>EDATE(Hipoteca!$C$7,B286-1)</f>
        <v>54848.0</v>
      </c>
      <c r="D286" s="23">
        <f>IFERROR(LOOKUP(2,1/((Hipoteca!$E$4:$E$9&lt;&gt;"")*(Hipoteca!$E$4:$E$9&lt;=C286)),Hipoteca!$F$4:$F$9),Hipoteca!$C$6)</f>
        <v>0.029</v>
      </c>
      <c r="E286" s="24">
        <f>J285</f>
        <v>27079.247500674108</v>
      </c>
      <c r="F286" s="24">
        <f>IF(E286&lt;=0.005,0,MIN(E286*(1+D286/12),IF(OR(Hipoteca!$C$8="Reducir cuota",D286&lt;&gt;D285),PMT(D286/12,K286,-E286),F285)))</f>
        <v>746.6003367545769</v>
      </c>
      <c r="G286" s="24">
        <f>E286*D286/12</f>
        <v>65.44151479329577</v>
      </c>
      <c r="H286" s="24">
        <f>IF(E286&lt;=0.005,0,MIN(E286,F286-G286))</f>
        <v>681.1588219612811</v>
      </c>
      <c r="I286" s="24">
        <f>MIN(E286-H286,SUMPRODUCT((YEAR(Hipoteca!$H$4:$H$15)=YEAR(C286))*(MONTH(Hipoteca!$H$4:$H$15)=MONTH(C286))*(Hipoteca!$H$4:$H$15&lt;&gt;"")*Hipoteca!$I$4:$I$15))</f>
        <v>0</v>
      </c>
      <c r="J286" s="24">
        <f>MAX(0,E286-H286-I286)</f>
        <v>26398.088678712826</v>
      </c>
      <c r="K286" s="21">
        <f>IF(E286&lt;=0.005,0,IF(Hipoteca!$C$8="Reducir cuota",$K$6-(B286-1),IFERROR(MAX(1,ROUNDUP(NPER(D285/12,-F285,E286),0)),$K$6-(B286-1))))</f>
        <v>39</v>
      </c>
      <c r="L286" s="21">
        <f>YEAR(C286)</f>
        <v>2050</v>
      </c>
      <c r="N286" s="25">
        <f>R285</f>
        <v>54398.46337654878</v>
      </c>
      <c r="O286" s="25">
        <f>IF(N286&lt;=0.005,0,IF(D286&lt;&gt;D285,PMT(D286/12,Hipoteca!$C$5*12-(B286-1),-N286),O285))</f>
        <v>748.6477272887904</v>
      </c>
      <c r="P286" s="25">
        <f>N286*D286/12</f>
        <v>131.4629531599929</v>
      </c>
      <c r="Q286" s="25">
        <f>IF(N286&lt;=0.005,0,MIN(N286,O286-P286))</f>
        <v>617.1847741287975</v>
      </c>
      <c r="R286" s="25">
        <f>MAX(0,N286-Q286)</f>
        <v>53781.27860241998</v>
      </c>
    </row>
    <row r="287" spans="2:18" ht="18" customHeight="1">
      <c r="B287" s="21">
        <f>ROW()-5</f>
        <v>282</v>
      </c>
      <c r="C287" s="22">
        <f>EDATE(Hipoteca!$C$7,B287-1)</f>
        <v>54879.0</v>
      </c>
      <c r="D287" s="23">
        <f>IFERROR(LOOKUP(2,1/((Hipoteca!$E$4:$E$9&lt;&gt;"")*(Hipoteca!$E$4:$E$9&lt;=C287)),Hipoteca!$F$4:$F$9),Hipoteca!$C$6)</f>
        <v>0.029</v>
      </c>
      <c r="E287" s="24">
        <f>J286</f>
        <v>26398.088678712826</v>
      </c>
      <c r="F287" s="24">
        <f>IF(E287&lt;=0.005,0,MIN(E287*(1+D287/12),IF(OR(Hipoteca!$C$8="Reducir cuota",D287&lt;&gt;D286),PMT(D287/12,K287,-E287),F286)))</f>
        <v>746.6003367545769</v>
      </c>
      <c r="G287" s="24">
        <f>E287*D287/12</f>
        <v>63.795380973556</v>
      </c>
      <c r="H287" s="24">
        <f>IF(E287&lt;=0.005,0,MIN(E287,F287-G287))</f>
        <v>682.8049557810209</v>
      </c>
      <c r="I287" s="24">
        <f>MIN(E287-H287,SUMPRODUCT((YEAR(Hipoteca!$H$4:$H$15)=YEAR(C287))*(MONTH(Hipoteca!$H$4:$H$15)=MONTH(C287))*(Hipoteca!$H$4:$H$15&lt;&gt;"")*Hipoteca!$I$4:$I$15))</f>
        <v>0</v>
      </c>
      <c r="J287" s="24">
        <f>MAX(0,E287-H287-I287)</f>
        <v>25715.283722931803</v>
      </c>
      <c r="K287" s="21">
        <f>IF(E287&lt;=0.005,0,IF(Hipoteca!$C$8="Reducir cuota",$K$6-(B287-1),IFERROR(MAX(1,ROUNDUP(NPER(D286/12,-F286,E287),0)),$K$6-(B287-1))))</f>
        <v>38</v>
      </c>
      <c r="L287" s="21">
        <f>YEAR(C287)</f>
        <v>2050</v>
      </c>
      <c r="N287" s="25">
        <f>R286</f>
        <v>53781.27860241998</v>
      </c>
      <c r="O287" s="25">
        <f>IF(N287&lt;=0.005,0,IF(D287&lt;&gt;D286,PMT(D287/12,Hipoteca!$C$5*12-(B287-1),-N287),O286))</f>
        <v>748.6477272887904</v>
      </c>
      <c r="P287" s="25">
        <f>N287*D287/12</f>
        <v>129.97142328918162</v>
      </c>
      <c r="Q287" s="25">
        <f>IF(N287&lt;=0.005,0,MIN(N287,O287-P287))</f>
        <v>618.6763039996088</v>
      </c>
      <c r="R287" s="25">
        <f>MAX(0,N287-Q287)</f>
        <v>53162.602298420374</v>
      </c>
    </row>
    <row r="288" spans="2:18" ht="18" customHeight="1">
      <c r="B288" s="21">
        <f>ROW()-5</f>
        <v>283</v>
      </c>
      <c r="C288" s="22">
        <f>EDATE(Hipoteca!$C$7,B288-1)</f>
        <v>54909.0</v>
      </c>
      <c r="D288" s="23">
        <f>IFERROR(LOOKUP(2,1/((Hipoteca!$E$4:$E$9&lt;&gt;"")*(Hipoteca!$E$4:$E$9&lt;=C288)),Hipoteca!$F$4:$F$9),Hipoteca!$C$6)</f>
        <v>0.029</v>
      </c>
      <c r="E288" s="24">
        <f>J287</f>
        <v>25715.283722931803</v>
      </c>
      <c r="F288" s="24">
        <f>IF(E288&lt;=0.005,0,MIN(E288*(1+D288/12),IF(OR(Hipoteca!$C$8="Reducir cuota",D288&lt;&gt;D287),PMT(D288/12,K288,-E288),F287)))</f>
        <v>746.6003367545769</v>
      </c>
      <c r="G288" s="24">
        <f>E288*D288/12</f>
        <v>62.145268997085196</v>
      </c>
      <c r="H288" s="24">
        <f>IF(E288&lt;=0.005,0,MIN(E288,F288-G288))</f>
        <v>684.4550677574917</v>
      </c>
      <c r="I288" s="24">
        <f>MIN(E288-H288,SUMPRODUCT((YEAR(Hipoteca!$H$4:$H$15)=YEAR(C288))*(MONTH(Hipoteca!$H$4:$H$15)=MONTH(C288))*(Hipoteca!$H$4:$H$15&lt;&gt;"")*Hipoteca!$I$4:$I$15))</f>
        <v>0</v>
      </c>
      <c r="J288" s="24">
        <f>MAX(0,E288-H288-I288)</f>
        <v>25030.82865517431</v>
      </c>
      <c r="K288" s="21">
        <f>IF(E288&lt;=0.005,0,IF(Hipoteca!$C$8="Reducir cuota",$K$6-(B288-1),IFERROR(MAX(1,ROUNDUP(NPER(D287/12,-F287,E288),0)),$K$6-(B288-1))))</f>
        <v>37</v>
      </c>
      <c r="L288" s="21">
        <f>YEAR(C288)</f>
        <v>2050</v>
      </c>
      <c r="N288" s="25">
        <f>R287</f>
        <v>53162.602298420374</v>
      </c>
      <c r="O288" s="25">
        <f>IF(N288&lt;=0.005,0,IF(D288&lt;&gt;D287,PMT(D288/12,Hipoteca!$C$5*12-(B288-1),-N288),O287))</f>
        <v>748.6477272887904</v>
      </c>
      <c r="P288" s="25">
        <f>N288*D288/12</f>
        <v>128.47628888784925</v>
      </c>
      <c r="Q288" s="25">
        <f>IF(N288&lt;=0.005,0,MIN(N288,O288-P288))</f>
        <v>620.1714384009412</v>
      </c>
      <c r="R288" s="25">
        <f>MAX(0,N288-Q288)</f>
        <v>52542.430860019434</v>
      </c>
    </row>
    <row r="289" spans="2:18" ht="18" customHeight="1">
      <c r="B289" s="21">
        <f>ROW()-5</f>
        <v>284</v>
      </c>
      <c r="C289" s="22">
        <f>EDATE(Hipoteca!$C$7,B289-1)</f>
        <v>54940.0</v>
      </c>
      <c r="D289" s="23">
        <f>IFERROR(LOOKUP(2,1/((Hipoteca!$E$4:$E$9&lt;&gt;"")*(Hipoteca!$E$4:$E$9&lt;=C289)),Hipoteca!$F$4:$F$9),Hipoteca!$C$6)</f>
        <v>0.029</v>
      </c>
      <c r="E289" s="24">
        <f>J288</f>
        <v>25030.82865517431</v>
      </c>
      <c r="F289" s="24">
        <f>IF(E289&lt;=0.005,0,MIN(E289*(1+D289/12),IF(OR(Hipoteca!$C$8="Reducir cuota",D289&lt;&gt;D288),PMT(D289/12,K289,-E289),F288)))</f>
        <v>746.6003367545769</v>
      </c>
      <c r="G289" s="24">
        <f>E289*D289/12</f>
        <v>60.49116925000459</v>
      </c>
      <c r="H289" s="24">
        <f>IF(E289&lt;=0.005,0,MIN(E289,F289-G289))</f>
        <v>686.1091675045723</v>
      </c>
      <c r="I289" s="24">
        <f>MIN(E289-H289,SUMPRODUCT((YEAR(Hipoteca!$H$4:$H$15)=YEAR(C289))*(MONTH(Hipoteca!$H$4:$H$15)=MONTH(C289))*(Hipoteca!$H$4:$H$15&lt;&gt;"")*Hipoteca!$I$4:$I$15))</f>
        <v>0</v>
      </c>
      <c r="J289" s="24">
        <f>MAX(0,E289-H289-I289)</f>
        <v>24344.71948766974</v>
      </c>
      <c r="K289" s="21">
        <f>IF(E289&lt;=0.005,0,IF(Hipoteca!$C$8="Reducir cuota",$K$6-(B289-1),IFERROR(MAX(1,ROUNDUP(NPER(D288/12,-F288,E289),0)),$K$6-(B289-1))))</f>
        <v>36</v>
      </c>
      <c r="L289" s="21">
        <f>YEAR(C289)</f>
        <v>2050</v>
      </c>
      <c r="N289" s="25">
        <f>R288</f>
        <v>52542.430860019434</v>
      </c>
      <c r="O289" s="25">
        <f>IF(N289&lt;=0.005,0,IF(D289&lt;&gt;D288,PMT(D289/12,Hipoteca!$C$5*12-(B289-1),-N289),O288))</f>
        <v>748.6477272887904</v>
      </c>
      <c r="P289" s="25">
        <f>N289*D289/12</f>
        <v>126.97754124504696</v>
      </c>
      <c r="Q289" s="25">
        <f>IF(N289&lt;=0.005,0,MIN(N289,O289-P289))</f>
        <v>621.6701860437435</v>
      </c>
      <c r="R289" s="25">
        <f>MAX(0,N289-Q289)</f>
        <v>51920.76067397569</v>
      </c>
    </row>
    <row r="290" spans="2:18" ht="18" customHeight="1">
      <c r="B290" s="21">
        <f>ROW()-5</f>
        <v>285</v>
      </c>
      <c r="C290" s="22">
        <f>EDATE(Hipoteca!$C$7,B290-1)</f>
        <v>54970.0</v>
      </c>
      <c r="D290" s="23">
        <f>IFERROR(LOOKUP(2,1/((Hipoteca!$E$4:$E$9&lt;&gt;"")*(Hipoteca!$E$4:$E$9&lt;=C290)),Hipoteca!$F$4:$F$9),Hipoteca!$C$6)</f>
        <v>0.029</v>
      </c>
      <c r="E290" s="24">
        <f>J289</f>
        <v>24344.71948766974</v>
      </c>
      <c r="F290" s="24">
        <f>IF(E290&lt;=0.005,0,MIN(E290*(1+D290/12),IF(OR(Hipoteca!$C$8="Reducir cuota",D290&lt;&gt;D289),PMT(D290/12,K290,-E290),F289)))</f>
        <v>746.6003367545769</v>
      </c>
      <c r="G290" s="24">
        <f>E290*D290/12</f>
        <v>58.83307209520188</v>
      </c>
      <c r="H290" s="24">
        <f>IF(E290&lt;=0.005,0,MIN(E290,F290-G290))</f>
        <v>687.7672646593751</v>
      </c>
      <c r="I290" s="24">
        <f>MIN(E290-H290,SUMPRODUCT((YEAR(Hipoteca!$H$4:$H$15)=YEAR(C290))*(MONTH(Hipoteca!$H$4:$H$15)=MONTH(C290))*(Hipoteca!$H$4:$H$15&lt;&gt;"")*Hipoteca!$I$4:$I$15))</f>
        <v>0</v>
      </c>
      <c r="J290" s="24">
        <f>MAX(0,E290-H290-I290)</f>
        <v>23656.952223010365</v>
      </c>
      <c r="K290" s="21">
        <f>IF(E290&lt;=0.005,0,IF(Hipoteca!$C$8="Reducir cuota",$K$6-(B290-1),IFERROR(MAX(1,ROUNDUP(NPER(D289/12,-F289,E290),0)),$K$6-(B290-1))))</f>
        <v>35</v>
      </c>
      <c r="L290" s="21">
        <f>YEAR(C290)</f>
        <v>2050</v>
      </c>
      <c r="N290" s="25">
        <f>R289</f>
        <v>51920.76067397569</v>
      </c>
      <c r="O290" s="25">
        <f>IF(N290&lt;=0.005,0,IF(D290&lt;&gt;D289,PMT(D290/12,Hipoteca!$C$5*12-(B290-1),-N290),O289))</f>
        <v>748.6477272887904</v>
      </c>
      <c r="P290" s="25">
        <f>N290*D290/12</f>
        <v>125.47517162877459</v>
      </c>
      <c r="Q290" s="25">
        <f>IF(N290&lt;=0.005,0,MIN(N290,O290-P290))</f>
        <v>623.1725556600159</v>
      </c>
      <c r="R290" s="25">
        <f>MAX(0,N290-Q290)</f>
        <v>51297.588118315674</v>
      </c>
    </row>
    <row r="291" spans="2:18" ht="18" customHeight="1">
      <c r="B291" s="21">
        <f>ROW()-5</f>
        <v>286</v>
      </c>
      <c r="C291" s="22">
        <f>EDATE(Hipoteca!$C$7,B291-1)</f>
        <v>55001.0</v>
      </c>
      <c r="D291" s="23">
        <f>IFERROR(LOOKUP(2,1/((Hipoteca!$E$4:$E$9&lt;&gt;"")*(Hipoteca!$E$4:$E$9&lt;=C291)),Hipoteca!$F$4:$F$9),Hipoteca!$C$6)</f>
        <v>0.029</v>
      </c>
      <c r="E291" s="24">
        <f>J290</f>
        <v>23656.952223010365</v>
      </c>
      <c r="F291" s="24">
        <f>IF(E291&lt;=0.005,0,MIN(E291*(1+D291/12),IF(OR(Hipoteca!$C$8="Reducir cuota",D291&lt;&gt;D290),PMT(D291/12,K291,-E291),F290)))</f>
        <v>746.6003367545769</v>
      </c>
      <c r="G291" s="24">
        <f>E291*D291/12</f>
        <v>57.17096787227505</v>
      </c>
      <c r="H291" s="24">
        <f>IF(E291&lt;=0.005,0,MIN(E291,F291-G291))</f>
        <v>689.4293688823019</v>
      </c>
      <c r="I291" s="24">
        <f>MIN(E291-H291,SUMPRODUCT((YEAR(Hipoteca!$H$4:$H$15)=YEAR(C291))*(MONTH(Hipoteca!$H$4:$H$15)=MONTH(C291))*(Hipoteca!$H$4:$H$15&lt;&gt;"")*Hipoteca!$I$4:$I$15))</f>
        <v>0</v>
      </c>
      <c r="J291" s="24">
        <f>MAX(0,E291-H291-I291)</f>
        <v>22967.522854128063</v>
      </c>
      <c r="K291" s="21">
        <f>IF(E291&lt;=0.005,0,IF(Hipoteca!$C$8="Reducir cuota",$K$6-(B291-1),IFERROR(MAX(1,ROUNDUP(NPER(D290/12,-F290,E291),0)),$K$6-(B291-1))))</f>
        <v>34</v>
      </c>
      <c r="L291" s="21">
        <f>YEAR(C291)</f>
        <v>2050</v>
      </c>
      <c r="N291" s="25">
        <f>R290</f>
        <v>51297.588118315674</v>
      </c>
      <c r="O291" s="25">
        <f>IF(N291&lt;=0.005,0,IF(D291&lt;&gt;D290,PMT(D291/12,Hipoteca!$C$5*12-(B291-1),-N291),O290))</f>
        <v>748.6477272887904</v>
      </c>
      <c r="P291" s="25">
        <f>N291*D291/12</f>
        <v>123.96917128592956</v>
      </c>
      <c r="Q291" s="25">
        <f>IF(N291&lt;=0.005,0,MIN(N291,O291-P291))</f>
        <v>624.6785560028609</v>
      </c>
      <c r="R291" s="25">
        <f>MAX(0,N291-Q291)</f>
        <v>50672.909562312816</v>
      </c>
    </row>
    <row r="292" spans="2:18" ht="18" customHeight="1">
      <c r="B292" s="21">
        <f>ROW()-5</f>
        <v>287</v>
      </c>
      <c r="C292" s="22">
        <f>EDATE(Hipoteca!$C$7,B292-1)</f>
        <v>55032.0</v>
      </c>
      <c r="D292" s="23">
        <f>IFERROR(LOOKUP(2,1/((Hipoteca!$E$4:$E$9&lt;&gt;"")*(Hipoteca!$E$4:$E$9&lt;=C292)),Hipoteca!$F$4:$F$9),Hipoteca!$C$6)</f>
        <v>0.029</v>
      </c>
      <c r="E292" s="24">
        <f>J291</f>
        <v>22967.522854128063</v>
      </c>
      <c r="F292" s="24">
        <f>IF(E292&lt;=0.005,0,MIN(E292*(1+D292/12),IF(OR(Hipoteca!$C$8="Reducir cuota",D292&lt;&gt;D291),PMT(D292/12,K292,-E292),F291)))</f>
        <v>746.6003367545769</v>
      </c>
      <c r="G292" s="24">
        <f>E292*D292/12</f>
        <v>55.50484689747615</v>
      </c>
      <c r="H292" s="24">
        <f>IF(E292&lt;=0.005,0,MIN(E292,F292-G292))</f>
        <v>691.0954898571008</v>
      </c>
      <c r="I292" s="24">
        <f>MIN(E292-H292,SUMPRODUCT((YEAR(Hipoteca!$H$4:$H$15)=YEAR(C292))*(MONTH(Hipoteca!$H$4:$H$15)=MONTH(C292))*(Hipoteca!$H$4:$H$15&lt;&gt;"")*Hipoteca!$I$4:$I$15))</f>
        <v>0</v>
      </c>
      <c r="J292" s="24">
        <f>MAX(0,E292-H292-I292)</f>
        <v>22276.427364270963</v>
      </c>
      <c r="K292" s="21">
        <f>IF(E292&lt;=0.005,0,IF(Hipoteca!$C$8="Reducir cuota",$K$6-(B292-1),IFERROR(MAX(1,ROUNDUP(NPER(D291/12,-F291,E292),0)),$K$6-(B292-1))))</f>
        <v>33</v>
      </c>
      <c r="L292" s="21">
        <f>YEAR(C292)</f>
        <v>2050</v>
      </c>
      <c r="N292" s="25">
        <f>R291</f>
        <v>50672.909562312816</v>
      </c>
      <c r="O292" s="25">
        <f>IF(N292&lt;=0.005,0,IF(D292&lt;&gt;D291,PMT(D292/12,Hipoteca!$C$5*12-(B292-1),-N292),O291))</f>
        <v>748.6477272887904</v>
      </c>
      <c r="P292" s="25">
        <f>N292*D292/12</f>
        <v>122.45953144225598</v>
      </c>
      <c r="Q292" s="25">
        <f>IF(N292&lt;=0.005,0,MIN(N292,O292-P292))</f>
        <v>626.1881958465344</v>
      </c>
      <c r="R292" s="25">
        <f>MAX(0,N292-Q292)</f>
        <v>50046.721366466285</v>
      </c>
    </row>
    <row r="293" spans="2:18" ht="18" customHeight="1">
      <c r="B293" s="21">
        <f>ROW()-5</f>
        <v>288</v>
      </c>
      <c r="C293" s="22">
        <f>EDATE(Hipoteca!$C$7,B293-1)</f>
        <v>55062.0</v>
      </c>
      <c r="D293" s="23">
        <f>IFERROR(LOOKUP(2,1/((Hipoteca!$E$4:$E$9&lt;&gt;"")*(Hipoteca!$E$4:$E$9&lt;=C293)),Hipoteca!$F$4:$F$9),Hipoteca!$C$6)</f>
        <v>0.029</v>
      </c>
      <c r="E293" s="24">
        <f>J292</f>
        <v>22276.427364270963</v>
      </c>
      <c r="F293" s="24">
        <f>IF(E293&lt;=0.005,0,MIN(E293*(1+D293/12),IF(OR(Hipoteca!$C$8="Reducir cuota",D293&lt;&gt;D292),PMT(D293/12,K293,-E293),F292)))</f>
        <v>746.6003367545769</v>
      </c>
      <c r="G293" s="24">
        <f>E293*D293/12</f>
        <v>53.83469946365483</v>
      </c>
      <c r="H293" s="24">
        <f>IF(E293&lt;=0.005,0,MIN(E293,F293-G293))</f>
        <v>692.7656372909221</v>
      </c>
      <c r="I293" s="24">
        <f>MIN(E293-H293,SUMPRODUCT((YEAR(Hipoteca!$H$4:$H$15)=YEAR(C293))*(MONTH(Hipoteca!$H$4:$H$15)=MONTH(C293))*(Hipoteca!$H$4:$H$15&lt;&gt;"")*Hipoteca!$I$4:$I$15))</f>
        <v>0</v>
      </c>
      <c r="J293" s="24">
        <f>MAX(0,E293-H293-I293)</f>
        <v>21583.66172698004</v>
      </c>
      <c r="K293" s="21">
        <f>IF(E293&lt;=0.005,0,IF(Hipoteca!$C$8="Reducir cuota",$K$6-(B293-1),IFERROR(MAX(1,ROUNDUP(NPER(D292/12,-F292,E293),0)),$K$6-(B293-1))))</f>
        <v>32</v>
      </c>
      <c r="L293" s="21">
        <f>YEAR(C293)</f>
        <v>2050</v>
      </c>
      <c r="N293" s="25">
        <f>R292</f>
        <v>50046.721366466285</v>
      </c>
      <c r="O293" s="25">
        <f>IF(N293&lt;=0.005,0,IF(D293&lt;&gt;D292,PMT(D293/12,Hipoteca!$C$5*12-(B293-1),-N293),O292))</f>
        <v>748.6477272887904</v>
      </c>
      <c r="P293" s="25">
        <f>N293*D293/12</f>
        <v>120.94624330229352</v>
      </c>
      <c r="Q293" s="25">
        <f>IF(N293&lt;=0.005,0,MIN(N293,O293-P293))</f>
        <v>627.7014839864969</v>
      </c>
      <c r="R293" s="25">
        <f>MAX(0,N293-Q293)</f>
        <v>49419.019882479784</v>
      </c>
    </row>
    <row r="294" spans="2:18" ht="18" customHeight="1">
      <c r="B294" s="21">
        <f>ROW()-5</f>
        <v>289</v>
      </c>
      <c r="C294" s="22">
        <f>EDATE(Hipoteca!$C$7,B294-1)</f>
        <v>55093.0</v>
      </c>
      <c r="D294" s="23">
        <f>IFERROR(LOOKUP(2,1/((Hipoteca!$E$4:$E$9&lt;&gt;"")*(Hipoteca!$E$4:$E$9&lt;=C294)),Hipoteca!$F$4:$F$9),Hipoteca!$C$6)</f>
        <v>0.029</v>
      </c>
      <c r="E294" s="24">
        <f>J293</f>
        <v>21583.66172698004</v>
      </c>
      <c r="F294" s="24">
        <f>IF(E294&lt;=0.005,0,MIN(E294*(1+D294/12),IF(OR(Hipoteca!$C$8="Reducir cuota",D294&lt;&gt;D293),PMT(D294/12,K294,-E294),F293)))</f>
        <v>746.6003367545769</v>
      </c>
      <c r="G294" s="24">
        <f>E294*D294/12</f>
        <v>52.160515840201775</v>
      </c>
      <c r="H294" s="24">
        <f>IF(E294&lt;=0.005,0,MIN(E294,F294-G294))</f>
        <v>694.4398209143751</v>
      </c>
      <c r="I294" s="24">
        <f>MIN(E294-H294,SUMPRODUCT((YEAR(Hipoteca!$H$4:$H$15)=YEAR(C294))*(MONTH(Hipoteca!$H$4:$H$15)=MONTH(C294))*(Hipoteca!$H$4:$H$15&lt;&gt;"")*Hipoteca!$I$4:$I$15))</f>
        <v>0</v>
      </c>
      <c r="J294" s="24">
        <f>MAX(0,E294-H294-I294)</f>
        <v>20889.221906065664</v>
      </c>
      <c r="K294" s="21">
        <f>IF(E294&lt;=0.005,0,IF(Hipoteca!$C$8="Reducir cuota",$K$6-(B294-1),IFERROR(MAX(1,ROUNDUP(NPER(D293/12,-F293,E294),0)),$K$6-(B294-1))))</f>
        <v>31</v>
      </c>
      <c r="L294" s="21">
        <f>YEAR(C294)</f>
        <v>2050</v>
      </c>
      <c r="N294" s="25">
        <f>R293</f>
        <v>49419.019882479784</v>
      </c>
      <c r="O294" s="25">
        <f>IF(N294&lt;=0.005,0,IF(D294&lt;&gt;D293,PMT(D294/12,Hipoteca!$C$5*12-(B294-1),-N294),O293))</f>
        <v>748.6477272887904</v>
      </c>
      <c r="P294" s="25">
        <f>N294*D294/12</f>
        <v>119.42929804932616</v>
      </c>
      <c r="Q294" s="25">
        <f>IF(N294&lt;=0.005,0,MIN(N294,O294-P294))</f>
        <v>629.2184292394643</v>
      </c>
      <c r="R294" s="25">
        <f>MAX(0,N294-Q294)</f>
        <v>48789.80145324032</v>
      </c>
    </row>
    <row r="295" spans="2:18" ht="18" customHeight="1">
      <c r="B295" s="21">
        <f>ROW()-5</f>
        <v>290</v>
      </c>
      <c r="C295" s="22">
        <f>EDATE(Hipoteca!$C$7,B295-1)</f>
        <v>55123.0</v>
      </c>
      <c r="D295" s="23">
        <f>IFERROR(LOOKUP(2,1/((Hipoteca!$E$4:$E$9&lt;&gt;"")*(Hipoteca!$E$4:$E$9&lt;=C295)),Hipoteca!$F$4:$F$9),Hipoteca!$C$6)</f>
        <v>0.029</v>
      </c>
      <c r="E295" s="24">
        <f>J294</f>
        <v>20889.221906065664</v>
      </c>
      <c r="F295" s="24">
        <f>IF(E295&lt;=0.005,0,MIN(E295*(1+D295/12),IF(OR(Hipoteca!$C$8="Reducir cuota",D295&lt;&gt;D294),PMT(D295/12,K295,-E295),F294)))</f>
        <v>746.6003367545769</v>
      </c>
      <c r="G295" s="24">
        <f>E295*D295/12</f>
        <v>50.48228627299202</v>
      </c>
      <c r="H295" s="24">
        <f>IF(E295&lt;=0.005,0,MIN(E295,F295-G295))</f>
        <v>696.1180504815849</v>
      </c>
      <c r="I295" s="24">
        <f>MIN(E295-H295,SUMPRODUCT((YEAR(Hipoteca!$H$4:$H$15)=YEAR(C295))*(MONTH(Hipoteca!$H$4:$H$15)=MONTH(C295))*(Hipoteca!$H$4:$H$15&lt;&gt;"")*Hipoteca!$I$4:$I$15))</f>
        <v>0</v>
      </c>
      <c r="J295" s="24">
        <f>MAX(0,E295-H295-I295)</f>
        <v>20193.10385558408</v>
      </c>
      <c r="K295" s="21">
        <f>IF(E295&lt;=0.005,0,IF(Hipoteca!$C$8="Reducir cuota",$K$6-(B295-1),IFERROR(MAX(1,ROUNDUP(NPER(D294/12,-F294,E295),0)),$K$6-(B295-1))))</f>
        <v>30</v>
      </c>
      <c r="L295" s="21">
        <f>YEAR(C295)</f>
        <v>2050</v>
      </c>
      <c r="N295" s="25">
        <f>R294</f>
        <v>48789.80145324032</v>
      </c>
      <c r="O295" s="25">
        <f>IF(N295&lt;=0.005,0,IF(D295&lt;&gt;D294,PMT(D295/12,Hipoteca!$C$5*12-(B295-1),-N295),O294))</f>
        <v>748.6477272887904</v>
      </c>
      <c r="P295" s="25">
        <f>N295*D295/12</f>
        <v>117.90868684533076</v>
      </c>
      <c r="Q295" s="25">
        <f>IF(N295&lt;=0.005,0,MIN(N295,O295-P295))</f>
        <v>630.7390404434597</v>
      </c>
      <c r="R295" s="25">
        <f>MAX(0,N295-Q295)</f>
        <v>48159.062412796855</v>
      </c>
    </row>
    <row r="296" spans="2:18" ht="18" customHeight="1">
      <c r="B296" s="21">
        <f>ROW()-5</f>
        <v>291</v>
      </c>
      <c r="C296" s="22">
        <f>EDATE(Hipoteca!$C$7,B296-1)</f>
        <v>55154.0</v>
      </c>
      <c r="D296" s="23">
        <f>IFERROR(LOOKUP(2,1/((Hipoteca!$E$4:$E$9&lt;&gt;"")*(Hipoteca!$E$4:$E$9&lt;=C296)),Hipoteca!$F$4:$F$9),Hipoteca!$C$6)</f>
        <v>0.029</v>
      </c>
      <c r="E296" s="24">
        <f>J295</f>
        <v>20193.10385558408</v>
      </c>
      <c r="F296" s="24">
        <f>IF(E296&lt;=0.005,0,MIN(E296*(1+D296/12),IF(OR(Hipoteca!$C$8="Reducir cuota",D296&lt;&gt;D295),PMT(D296/12,K296,-E296),F295)))</f>
        <v>746.6003367545769</v>
      </c>
      <c r="G296" s="24">
        <f>E296*D296/12</f>
        <v>48.80000098432819</v>
      </c>
      <c r="H296" s="24">
        <f>IF(E296&lt;=0.005,0,MIN(E296,F296-G296))</f>
        <v>697.8003357702487</v>
      </c>
      <c r="I296" s="24">
        <f>MIN(E296-H296,SUMPRODUCT((YEAR(Hipoteca!$H$4:$H$15)=YEAR(C296))*(MONTH(Hipoteca!$H$4:$H$15)=MONTH(C296))*(Hipoteca!$H$4:$H$15&lt;&gt;"")*Hipoteca!$I$4:$I$15))</f>
        <v>0</v>
      </c>
      <c r="J296" s="24">
        <f>MAX(0,E296-H296-I296)</f>
        <v>19495.30351981383</v>
      </c>
      <c r="K296" s="21">
        <f>IF(E296&lt;=0.005,0,IF(Hipoteca!$C$8="Reducir cuota",$K$6-(B296-1),IFERROR(MAX(1,ROUNDUP(NPER(D295/12,-F295,E296),0)),$K$6-(B296-1))))</f>
        <v>29</v>
      </c>
      <c r="L296" s="21">
        <f>YEAR(C296)</f>
        <v>2051</v>
      </c>
      <c r="N296" s="25">
        <f>R295</f>
        <v>48159.062412796855</v>
      </c>
      <c r="O296" s="25">
        <f>IF(N296&lt;=0.005,0,IF(D296&lt;&gt;D295,PMT(D296/12,Hipoteca!$C$5*12-(B296-1),-N296),O295))</f>
        <v>748.6477272887904</v>
      </c>
      <c r="P296" s="25">
        <f>N296*D296/12</f>
        <v>116.38440083092574</v>
      </c>
      <c r="Q296" s="25">
        <f>IF(N296&lt;=0.005,0,MIN(N296,O296-P296))</f>
        <v>632.2633264578647</v>
      </c>
      <c r="R296" s="25">
        <f>MAX(0,N296-Q296)</f>
        <v>47526.79908633899</v>
      </c>
    </row>
    <row r="297" spans="2:18" ht="18" customHeight="1">
      <c r="B297" s="21">
        <f>ROW()-5</f>
        <v>292</v>
      </c>
      <c r="C297" s="22">
        <f>EDATE(Hipoteca!$C$7,B297-1)</f>
        <v>55185.0</v>
      </c>
      <c r="D297" s="23">
        <f>IFERROR(LOOKUP(2,1/((Hipoteca!$E$4:$E$9&lt;&gt;"")*(Hipoteca!$E$4:$E$9&lt;=C297)),Hipoteca!$F$4:$F$9),Hipoteca!$C$6)</f>
        <v>0.029</v>
      </c>
      <c r="E297" s="24">
        <f>J296</f>
        <v>19495.30351981383</v>
      </c>
      <c r="F297" s="24">
        <f>IF(E297&lt;=0.005,0,MIN(E297*(1+D297/12),IF(OR(Hipoteca!$C$8="Reducir cuota",D297&lt;&gt;D296),PMT(D297/12,K297,-E297),F296)))</f>
        <v>746.6003367545769</v>
      </c>
      <c r="G297" s="24">
        <f>E297*D297/12</f>
        <v>47.11365017288343</v>
      </c>
      <c r="H297" s="24">
        <f>IF(E297&lt;=0.005,0,MIN(E297,F297-G297))</f>
        <v>699.4866865816934</v>
      </c>
      <c r="I297" s="24">
        <f>MIN(E297-H297,SUMPRODUCT((YEAR(Hipoteca!$H$4:$H$15)=YEAR(C297))*(MONTH(Hipoteca!$H$4:$H$15)=MONTH(C297))*(Hipoteca!$H$4:$H$15&lt;&gt;"")*Hipoteca!$I$4:$I$15))</f>
        <v>0</v>
      </c>
      <c r="J297" s="24">
        <f>MAX(0,E297-H297-I297)</f>
        <v>18795.816833232137</v>
      </c>
      <c r="K297" s="21">
        <f>IF(E297&lt;=0.005,0,IF(Hipoteca!$C$8="Reducir cuota",$K$6-(B297-1),IFERROR(MAX(1,ROUNDUP(NPER(D296/12,-F296,E297),0)),$K$6-(B297-1))))</f>
        <v>28</v>
      </c>
      <c r="L297" s="21">
        <f>YEAR(C297)</f>
        <v>2051</v>
      </c>
      <c r="N297" s="25">
        <f>R296</f>
        <v>47526.79908633899</v>
      </c>
      <c r="O297" s="25">
        <f>IF(N297&lt;=0.005,0,IF(D297&lt;&gt;D296,PMT(D297/12,Hipoteca!$C$5*12-(B297-1),-N297),O296))</f>
        <v>748.6477272887904</v>
      </c>
      <c r="P297" s="25">
        <f>N297*D297/12</f>
        <v>114.85643112531925</v>
      </c>
      <c r="Q297" s="25">
        <f>IF(N297&lt;=0.005,0,MIN(N297,O297-P297))</f>
        <v>633.7912961634712</v>
      </c>
      <c r="R297" s="25">
        <f>MAX(0,N297-Q297)</f>
        <v>46893.00779017552</v>
      </c>
    </row>
    <row r="298" spans="2:18" ht="18" customHeight="1">
      <c r="B298" s="21">
        <f>ROW()-5</f>
        <v>293</v>
      </c>
      <c r="C298" s="22">
        <f>EDATE(Hipoteca!$C$7,B298-1)</f>
        <v>55213.0</v>
      </c>
      <c r="D298" s="23">
        <f>IFERROR(LOOKUP(2,1/((Hipoteca!$E$4:$E$9&lt;&gt;"")*(Hipoteca!$E$4:$E$9&lt;=C298)),Hipoteca!$F$4:$F$9),Hipoteca!$C$6)</f>
        <v>0.029</v>
      </c>
      <c r="E298" s="24">
        <f>J297</f>
        <v>18795.816833232137</v>
      </c>
      <c r="F298" s="24">
        <f>IF(E298&lt;=0.005,0,MIN(E298*(1+D298/12),IF(OR(Hipoteca!$C$8="Reducir cuota",D298&lt;&gt;D297),PMT(D298/12,K298,-E298),F297)))</f>
        <v>746.6003367545769</v>
      </c>
      <c r="G298" s="24">
        <f>E298*D298/12</f>
        <v>45.42322401364433</v>
      </c>
      <c r="H298" s="24">
        <f>IF(E298&lt;=0.005,0,MIN(E298,F298-G298))</f>
        <v>701.1771127409326</v>
      </c>
      <c r="I298" s="24">
        <f>MIN(E298-H298,SUMPRODUCT((YEAR(Hipoteca!$H$4:$H$15)=YEAR(C298))*(MONTH(Hipoteca!$H$4:$H$15)=MONTH(C298))*(Hipoteca!$H$4:$H$15&lt;&gt;"")*Hipoteca!$I$4:$I$15))</f>
        <v>0</v>
      </c>
      <c r="J298" s="24">
        <f>MAX(0,E298-H298-I298)</f>
        <v>18094.639720491203</v>
      </c>
      <c r="K298" s="21">
        <f>IF(E298&lt;=0.005,0,IF(Hipoteca!$C$8="Reducir cuota",$K$6-(B298-1),IFERROR(MAX(1,ROUNDUP(NPER(D297/12,-F297,E298),0)),$K$6-(B298-1))))</f>
        <v>27</v>
      </c>
      <c r="L298" s="21">
        <f>YEAR(C298)</f>
        <v>2051</v>
      </c>
      <c r="N298" s="25">
        <f>R297</f>
        <v>46893.00779017552</v>
      </c>
      <c r="O298" s="25">
        <f>IF(N298&lt;=0.005,0,IF(D298&lt;&gt;D297,PMT(D298/12,Hipoteca!$C$5*12-(B298-1),-N298),O297))</f>
        <v>748.6477272887904</v>
      </c>
      <c r="P298" s="25">
        <f>N298*D298/12</f>
        <v>113.32476882625751</v>
      </c>
      <c r="Q298" s="25">
        <f>IF(N298&lt;=0.005,0,MIN(N298,O298-P298))</f>
        <v>635.3229584625329</v>
      </c>
      <c r="R298" s="25">
        <f>MAX(0,N298-Q298)</f>
        <v>46257.68483171299</v>
      </c>
    </row>
    <row r="299" spans="2:18" ht="18" customHeight="1">
      <c r="B299" s="21">
        <f>ROW()-5</f>
        <v>294</v>
      </c>
      <c r="C299" s="22">
        <f>EDATE(Hipoteca!$C$7,B299-1)</f>
        <v>55244.0</v>
      </c>
      <c r="D299" s="23">
        <f>IFERROR(LOOKUP(2,1/((Hipoteca!$E$4:$E$9&lt;&gt;"")*(Hipoteca!$E$4:$E$9&lt;=C299)),Hipoteca!$F$4:$F$9),Hipoteca!$C$6)</f>
        <v>0.029</v>
      </c>
      <c r="E299" s="24">
        <f>J298</f>
        <v>18094.639720491203</v>
      </c>
      <c r="F299" s="24">
        <f>IF(E299&lt;=0.005,0,MIN(E299*(1+D299/12),IF(OR(Hipoteca!$C$8="Reducir cuota",D299&lt;&gt;D298),PMT(D299/12,K299,-E299),F298)))</f>
        <v>746.6003367545769</v>
      </c>
      <c r="G299" s="24">
        <f>E299*D299/12</f>
        <v>43.72871265785374</v>
      </c>
      <c r="H299" s="24">
        <f>IF(E299&lt;=0.005,0,MIN(E299,F299-G299))</f>
        <v>702.8716240967232</v>
      </c>
      <c r="I299" s="24">
        <f>MIN(E299-H299,SUMPRODUCT((YEAR(Hipoteca!$H$4:$H$15)=YEAR(C299))*(MONTH(Hipoteca!$H$4:$H$15)=MONTH(C299))*(Hipoteca!$H$4:$H$15&lt;&gt;"")*Hipoteca!$I$4:$I$15))</f>
        <v>0</v>
      </c>
      <c r="J299" s="24">
        <f>MAX(0,E299-H299-I299)</f>
        <v>17391.76809639448</v>
      </c>
      <c r="K299" s="21">
        <f>IF(E299&lt;=0.005,0,IF(Hipoteca!$C$8="Reducir cuota",$K$6-(B299-1),IFERROR(MAX(1,ROUNDUP(NPER(D298/12,-F298,E299),0)),$K$6-(B299-1))))</f>
        <v>26</v>
      </c>
      <c r="L299" s="21">
        <f>YEAR(C299)</f>
        <v>2051</v>
      </c>
      <c r="N299" s="25">
        <f>R298</f>
        <v>46257.68483171299</v>
      </c>
      <c r="O299" s="25">
        <f>IF(N299&lt;=0.005,0,IF(D299&lt;&gt;D298,PMT(D299/12,Hipoteca!$C$5*12-(B299-1),-N299),O298))</f>
        <v>748.6477272887904</v>
      </c>
      <c r="P299" s="25">
        <f>N299*D299/12</f>
        <v>111.78940500997307</v>
      </c>
      <c r="Q299" s="25">
        <f>IF(N299&lt;=0.005,0,MIN(N299,O299-P299))</f>
        <v>636.8583222788174</v>
      </c>
      <c r="R299" s="25">
        <f>MAX(0,N299-Q299)</f>
        <v>45620.82650943418</v>
      </c>
    </row>
    <row r="300" spans="2:18" ht="18" customHeight="1">
      <c r="B300" s="21">
        <f>ROW()-5</f>
        <v>295</v>
      </c>
      <c r="C300" s="22">
        <f>EDATE(Hipoteca!$C$7,B300-1)</f>
        <v>55274.0</v>
      </c>
      <c r="D300" s="23">
        <f>IFERROR(LOOKUP(2,1/((Hipoteca!$E$4:$E$9&lt;&gt;"")*(Hipoteca!$E$4:$E$9&lt;=C300)),Hipoteca!$F$4:$F$9),Hipoteca!$C$6)</f>
        <v>0.029</v>
      </c>
      <c r="E300" s="24">
        <f>J299</f>
        <v>17391.76809639448</v>
      </c>
      <c r="F300" s="24">
        <f>IF(E300&lt;=0.005,0,MIN(E300*(1+D300/12),IF(OR(Hipoteca!$C$8="Reducir cuota",D300&lt;&gt;D299),PMT(D300/12,K300,-E300),F299)))</f>
        <v>746.6003367545769</v>
      </c>
      <c r="G300" s="24">
        <f>E300*D300/12</f>
        <v>42.03010623295333</v>
      </c>
      <c r="H300" s="24">
        <f>IF(E300&lt;=0.005,0,MIN(E300,F300-G300))</f>
        <v>704.5702305216236</v>
      </c>
      <c r="I300" s="24">
        <f>MIN(E300-H300,SUMPRODUCT((YEAR(Hipoteca!$H$4:$H$15)=YEAR(C300))*(MONTH(Hipoteca!$H$4:$H$15)=MONTH(C300))*(Hipoteca!$H$4:$H$15&lt;&gt;"")*Hipoteca!$I$4:$I$15))</f>
        <v>0</v>
      </c>
      <c r="J300" s="24">
        <f>MAX(0,E300-H300-I300)</f>
        <v>16687.19786587286</v>
      </c>
      <c r="K300" s="21">
        <f>IF(E300&lt;=0.005,0,IF(Hipoteca!$C$8="Reducir cuota",$K$6-(B300-1),IFERROR(MAX(1,ROUNDUP(NPER(D299/12,-F299,E300),0)),$K$6-(B300-1))))</f>
        <v>25</v>
      </c>
      <c r="L300" s="21">
        <f>YEAR(C300)</f>
        <v>2051</v>
      </c>
      <c r="N300" s="25">
        <f>R299</f>
        <v>45620.82650943418</v>
      </c>
      <c r="O300" s="25">
        <f>IF(N300&lt;=0.005,0,IF(D300&lt;&gt;D299,PMT(D300/12,Hipoteca!$C$5*12-(B300-1),-N300),O299))</f>
        <v>748.6477272887904</v>
      </c>
      <c r="P300" s="25">
        <f>N300*D300/12</f>
        <v>110.25033073113259</v>
      </c>
      <c r="Q300" s="25">
        <f>IF(N300&lt;=0.005,0,MIN(N300,O300-P300))</f>
        <v>638.3973965576578</v>
      </c>
      <c r="R300" s="25">
        <f>MAX(0,N300-Q300)</f>
        <v>44982.42911287652</v>
      </c>
    </row>
    <row r="301" spans="2:18" ht="18" customHeight="1">
      <c r="B301" s="21">
        <f>ROW()-5</f>
        <v>296</v>
      </c>
      <c r="C301" s="22">
        <f>EDATE(Hipoteca!$C$7,B301-1)</f>
        <v>55305.0</v>
      </c>
      <c r="D301" s="23">
        <f>IFERROR(LOOKUP(2,1/((Hipoteca!$E$4:$E$9&lt;&gt;"")*(Hipoteca!$E$4:$E$9&lt;=C301)),Hipoteca!$F$4:$F$9),Hipoteca!$C$6)</f>
        <v>0.029</v>
      </c>
      <c r="E301" s="24">
        <f>J300</f>
        <v>16687.19786587286</v>
      </c>
      <c r="F301" s="24">
        <f>IF(E301&lt;=0.005,0,MIN(E301*(1+D301/12),IF(OR(Hipoteca!$C$8="Reducir cuota",D301&lt;&gt;D300),PMT(D301/12,K301,-E301),F300)))</f>
        <v>746.6003367545769</v>
      </c>
      <c r="G301" s="24">
        <f>E301*D301/12</f>
        <v>40.327394842526076</v>
      </c>
      <c r="H301" s="24">
        <f>IF(E301&lt;=0.005,0,MIN(E301,F301-G301))</f>
        <v>706.2729419120508</v>
      </c>
      <c r="I301" s="24">
        <f>MIN(E301-H301,SUMPRODUCT((YEAR(Hipoteca!$H$4:$H$15)=YEAR(C301))*(MONTH(Hipoteca!$H$4:$H$15)=MONTH(C301))*(Hipoteca!$H$4:$H$15&lt;&gt;"")*Hipoteca!$I$4:$I$15))</f>
        <v>0</v>
      </c>
      <c r="J301" s="24">
        <f>MAX(0,E301-H301-I301)</f>
        <v>15980.924923960807</v>
      </c>
      <c r="K301" s="21">
        <f>IF(E301&lt;=0.005,0,IF(Hipoteca!$C$8="Reducir cuota",$K$6-(B301-1),IFERROR(MAX(1,ROUNDUP(NPER(D300/12,-F300,E301),0)),$K$6-(B301-1))))</f>
        <v>24</v>
      </c>
      <c r="L301" s="21">
        <f>YEAR(C301)</f>
        <v>2051</v>
      </c>
      <c r="N301" s="25">
        <f>R300</f>
        <v>44982.42911287652</v>
      </c>
      <c r="O301" s="25">
        <f>IF(N301&lt;=0.005,0,IF(D301&lt;&gt;D300,PMT(D301/12,Hipoteca!$C$5*12-(B301-1),-N301),O300))</f>
        <v>748.6477272887904</v>
      </c>
      <c r="P301" s="25">
        <f>N301*D301/12</f>
        <v>108.70753702278493</v>
      </c>
      <c r="Q301" s="25">
        <f>IF(N301&lt;=0.005,0,MIN(N301,O301-P301))</f>
        <v>639.9401902660055</v>
      </c>
      <c r="R301" s="25">
        <f>MAX(0,N301-Q301)</f>
        <v>44342.488922610515</v>
      </c>
    </row>
    <row r="302" spans="2:18" ht="18" customHeight="1">
      <c r="B302" s="21">
        <f>ROW()-5</f>
        <v>297</v>
      </c>
      <c r="C302" s="22">
        <f>EDATE(Hipoteca!$C$7,B302-1)</f>
        <v>55335.0</v>
      </c>
      <c r="D302" s="23">
        <f>IFERROR(LOOKUP(2,1/((Hipoteca!$E$4:$E$9&lt;&gt;"")*(Hipoteca!$E$4:$E$9&lt;=C302)),Hipoteca!$F$4:$F$9),Hipoteca!$C$6)</f>
        <v>0.029</v>
      </c>
      <c r="E302" s="24">
        <f>J301</f>
        <v>15980.924923960807</v>
      </c>
      <c r="F302" s="24">
        <f>IF(E302&lt;=0.005,0,MIN(E302*(1+D302/12),IF(OR(Hipoteca!$C$8="Reducir cuota",D302&lt;&gt;D301),PMT(D302/12,K302,-E302),F301)))</f>
        <v>746.6003367545769</v>
      </c>
      <c r="G302" s="24">
        <f>E302*D302/12</f>
        <v>38.62056856623862</v>
      </c>
      <c r="H302" s="24">
        <f>IF(E302&lt;=0.005,0,MIN(E302,F302-G302))</f>
        <v>707.9797681883383</v>
      </c>
      <c r="I302" s="24">
        <f>MIN(E302-H302,SUMPRODUCT((YEAR(Hipoteca!$H$4:$H$15)=YEAR(C302))*(MONTH(Hipoteca!$H$4:$H$15)=MONTH(C302))*(Hipoteca!$H$4:$H$15&lt;&gt;"")*Hipoteca!$I$4:$I$15))</f>
        <v>0</v>
      </c>
      <c r="J302" s="24">
        <f>MAX(0,E302-H302-I302)</f>
        <v>15272.945155772468</v>
      </c>
      <c r="K302" s="21">
        <f>IF(E302&lt;=0.005,0,IF(Hipoteca!$C$8="Reducir cuota",$K$6-(B302-1),IFERROR(MAX(1,ROUNDUP(NPER(D301/12,-F301,E302),0)),$K$6-(B302-1))))</f>
        <v>23</v>
      </c>
      <c r="L302" s="21">
        <f>YEAR(C302)</f>
        <v>2051</v>
      </c>
      <c r="N302" s="25">
        <f>R301</f>
        <v>44342.488922610515</v>
      </c>
      <c r="O302" s="25">
        <f>IF(N302&lt;=0.005,0,IF(D302&lt;&gt;D301,PMT(D302/12,Hipoteca!$C$5*12-(B302-1),-N302),O301))</f>
        <v>748.6477272887904</v>
      </c>
      <c r="P302" s="25">
        <f>N302*D302/12</f>
        <v>107.16101489630876</v>
      </c>
      <c r="Q302" s="25">
        <f>IF(N302&lt;=0.005,0,MIN(N302,O302-P302))</f>
        <v>641.4867123924816</v>
      </c>
      <c r="R302" s="25">
        <f>MAX(0,N302-Q302)</f>
        <v>43701.00221021803</v>
      </c>
    </row>
    <row r="303" spans="2:18" ht="18" customHeight="1">
      <c r="B303" s="21">
        <f>ROW()-5</f>
        <v>298</v>
      </c>
      <c r="C303" s="22">
        <f>EDATE(Hipoteca!$C$7,B303-1)</f>
        <v>55366.0</v>
      </c>
      <c r="D303" s="23">
        <f>IFERROR(LOOKUP(2,1/((Hipoteca!$E$4:$E$9&lt;&gt;"")*(Hipoteca!$E$4:$E$9&lt;=C303)),Hipoteca!$F$4:$F$9),Hipoteca!$C$6)</f>
        <v>0.029</v>
      </c>
      <c r="E303" s="24">
        <f>J302</f>
        <v>15272.945155772468</v>
      </c>
      <c r="F303" s="24">
        <f>IF(E303&lt;=0.005,0,MIN(E303*(1+D303/12),IF(OR(Hipoteca!$C$8="Reducir cuota",D303&lt;&gt;D302),PMT(D303/12,K303,-E303),F302)))</f>
        <v>746.6003367545769</v>
      </c>
      <c r="G303" s="24">
        <f>E303*D303/12</f>
        <v>36.90961745978347</v>
      </c>
      <c r="H303" s="24">
        <f>IF(E303&lt;=0.005,0,MIN(E303,F303-G303))</f>
        <v>709.6907192947934</v>
      </c>
      <c r="I303" s="24">
        <f>MIN(E303-H303,SUMPRODUCT((YEAR(Hipoteca!$H$4:$H$15)=YEAR(C303))*(MONTH(Hipoteca!$H$4:$H$15)=MONTH(C303))*(Hipoteca!$H$4:$H$15&lt;&gt;"")*Hipoteca!$I$4:$I$15))</f>
        <v>0</v>
      </c>
      <c r="J303" s="24">
        <f>MAX(0,E303-H303-I303)</f>
        <v>14563.254436477675</v>
      </c>
      <c r="K303" s="21">
        <f>IF(E303&lt;=0.005,0,IF(Hipoteca!$C$8="Reducir cuota",$K$6-(B303-1),IFERROR(MAX(1,ROUNDUP(NPER(D302/12,-F302,E303),0)),$K$6-(B303-1))))</f>
        <v>22</v>
      </c>
      <c r="L303" s="21">
        <f>YEAR(C303)</f>
        <v>2051</v>
      </c>
      <c r="N303" s="25">
        <f>R302</f>
        <v>43701.00221021803</v>
      </c>
      <c r="O303" s="25">
        <f>IF(N303&lt;=0.005,0,IF(D303&lt;&gt;D302,PMT(D303/12,Hipoteca!$C$5*12-(B303-1),-N303),O302))</f>
        <v>748.6477272887904</v>
      </c>
      <c r="P303" s="25">
        <f>N303*D303/12</f>
        <v>105.61075534136025</v>
      </c>
      <c r="Q303" s="25">
        <f>IF(N303&lt;=0.005,0,MIN(N303,O303-P303))</f>
        <v>643.0369719474302</v>
      </c>
      <c r="R303" s="25">
        <f>MAX(0,N303-Q303)</f>
        <v>43057.9652382706</v>
      </c>
    </row>
    <row r="304" spans="2:18" ht="18" customHeight="1">
      <c r="B304" s="21">
        <f>ROW()-5</f>
        <v>299</v>
      </c>
      <c r="C304" s="22">
        <f>EDATE(Hipoteca!$C$7,B304-1)</f>
        <v>55397.0</v>
      </c>
      <c r="D304" s="23">
        <f>IFERROR(LOOKUP(2,1/((Hipoteca!$E$4:$E$9&lt;&gt;"")*(Hipoteca!$E$4:$E$9&lt;=C304)),Hipoteca!$F$4:$F$9),Hipoteca!$C$6)</f>
        <v>0.029</v>
      </c>
      <c r="E304" s="24">
        <f>J303</f>
        <v>14563.254436477675</v>
      </c>
      <c r="F304" s="24">
        <f>IF(E304&lt;=0.005,0,MIN(E304*(1+D304/12),IF(OR(Hipoteca!$C$8="Reducir cuota",D304&lt;&gt;D303),PMT(D304/12,K304,-E304),F303)))</f>
        <v>746.6003367545769</v>
      </c>
      <c r="G304" s="24">
        <f>E304*D304/12</f>
        <v>35.19453155482105</v>
      </c>
      <c r="H304" s="24">
        <f>IF(E304&lt;=0.005,0,MIN(E304,F304-G304))</f>
        <v>711.4058051997558</v>
      </c>
      <c r="I304" s="24">
        <f>MIN(E304-H304,SUMPRODUCT((YEAR(Hipoteca!$H$4:$H$15)=YEAR(C304))*(MONTH(Hipoteca!$H$4:$H$15)=MONTH(C304))*(Hipoteca!$H$4:$H$15&lt;&gt;"")*Hipoteca!$I$4:$I$15))</f>
        <v>0</v>
      </c>
      <c r="J304" s="24">
        <f>MAX(0,E304-H304-I304)</f>
        <v>13851.848631277919</v>
      </c>
      <c r="K304" s="21">
        <f>IF(E304&lt;=0.005,0,IF(Hipoteca!$C$8="Reducir cuota",$K$6-(B304-1),IFERROR(MAX(1,ROUNDUP(NPER(D303/12,-F303,E304),0)),$K$6-(B304-1))))</f>
        <v>21</v>
      </c>
      <c r="L304" s="21">
        <f>YEAR(C304)</f>
        <v>2051</v>
      </c>
      <c r="N304" s="25">
        <f>R303</f>
        <v>43057.9652382706</v>
      </c>
      <c r="O304" s="25">
        <f>IF(N304&lt;=0.005,0,IF(D304&lt;&gt;D303,PMT(D304/12,Hipoteca!$C$5*12-(B304-1),-N304),O303))</f>
        <v>748.6477272887904</v>
      </c>
      <c r="P304" s="25">
        <f>N304*D304/12</f>
        <v>104.0567493258206</v>
      </c>
      <c r="Q304" s="25">
        <f>IF(N304&lt;=0.005,0,MIN(N304,O304-P304))</f>
        <v>644.5909779629698</v>
      </c>
      <c r="R304" s="25">
        <f>MAX(0,N304-Q304)</f>
        <v>42413.374260307624</v>
      </c>
    </row>
    <row r="305" spans="2:18" ht="18" customHeight="1">
      <c r="B305" s="21">
        <f>ROW()-5</f>
        <v>300</v>
      </c>
      <c r="C305" s="22">
        <f>EDATE(Hipoteca!$C$7,B305-1)</f>
        <v>55427.0</v>
      </c>
      <c r="D305" s="23">
        <f>IFERROR(LOOKUP(2,1/((Hipoteca!$E$4:$E$9&lt;&gt;"")*(Hipoteca!$E$4:$E$9&lt;=C305)),Hipoteca!$F$4:$F$9),Hipoteca!$C$6)</f>
        <v>0.029</v>
      </c>
      <c r="E305" s="24">
        <f>J304</f>
        <v>13851.848631277919</v>
      </c>
      <c r="F305" s="24">
        <f>IF(E305&lt;=0.005,0,MIN(E305*(1+D305/12),IF(OR(Hipoteca!$C$8="Reducir cuota",D305&lt;&gt;D304),PMT(D305/12,K305,-E305),F304)))</f>
        <v>746.6003367545769</v>
      </c>
      <c r="G305" s="24">
        <f>E305*D305/12</f>
        <v>33.475300858921635</v>
      </c>
      <c r="H305" s="24">
        <f>IF(E305&lt;=0.005,0,MIN(E305,F305-G305))</f>
        <v>713.1250358956553</v>
      </c>
      <c r="I305" s="24">
        <f>MIN(E305-H305,SUMPRODUCT((YEAR(Hipoteca!$H$4:$H$15)=YEAR(C305))*(MONTH(Hipoteca!$H$4:$H$15)=MONTH(C305))*(Hipoteca!$H$4:$H$15&lt;&gt;"")*Hipoteca!$I$4:$I$15))</f>
        <v>0</v>
      </c>
      <c r="J305" s="24">
        <f>MAX(0,E305-H305-I305)</f>
        <v>13138.723595382264</v>
      </c>
      <c r="K305" s="21">
        <f>IF(E305&lt;=0.005,0,IF(Hipoteca!$C$8="Reducir cuota",$K$6-(B305-1),IFERROR(MAX(1,ROUNDUP(NPER(D304/12,-F304,E305),0)),$K$6-(B305-1))))</f>
        <v>20</v>
      </c>
      <c r="L305" s="21">
        <f>YEAR(C305)</f>
        <v>2051</v>
      </c>
      <c r="N305" s="25">
        <f>R304</f>
        <v>42413.374260307624</v>
      </c>
      <c r="O305" s="25">
        <f>IF(N305&lt;=0.005,0,IF(D305&lt;&gt;D304,PMT(D305/12,Hipoteca!$C$5*12-(B305-1),-N305),O304))</f>
        <v>748.6477272887904</v>
      </c>
      <c r="P305" s="25">
        <f>N305*D305/12</f>
        <v>102.49898779574342</v>
      </c>
      <c r="Q305" s="25">
        <f>IF(N305&lt;=0.005,0,MIN(N305,O305-P305))</f>
        <v>646.148739493047</v>
      </c>
      <c r="R305" s="25">
        <f>MAX(0,N305-Q305)</f>
        <v>41767.22552081458</v>
      </c>
    </row>
    <row r="306" spans="2:18" ht="18" customHeight="1">
      <c r="B306" s="21">
        <f>ROW()-5</f>
        <v>301</v>
      </c>
      <c r="C306" s="22">
        <f>EDATE(Hipoteca!$C$7,B306-1)</f>
        <v>55458.0</v>
      </c>
      <c r="D306" s="23">
        <f>IFERROR(LOOKUP(2,1/((Hipoteca!$E$4:$E$9&lt;&gt;"")*(Hipoteca!$E$4:$E$9&lt;=C306)),Hipoteca!$F$4:$F$9),Hipoteca!$C$6)</f>
        <v>0.029</v>
      </c>
      <c r="E306" s="24">
        <f>J305</f>
        <v>13138.723595382264</v>
      </c>
      <c r="F306" s="24">
        <f>IF(E306&lt;=0.005,0,MIN(E306*(1+D306/12),IF(OR(Hipoteca!$C$8="Reducir cuota",D306&lt;&gt;D305),PMT(D306/12,K306,-E306),F305)))</f>
        <v>746.6003367545769</v>
      </c>
      <c r="G306" s="24">
        <f>E306*D306/12</f>
        <v>31.751915355507137</v>
      </c>
      <c r="H306" s="24">
        <f>IF(E306&lt;=0.005,0,MIN(E306,F306-G306))</f>
        <v>714.8484213990698</v>
      </c>
      <c r="I306" s="24">
        <f>MIN(E306-H306,SUMPRODUCT((YEAR(Hipoteca!$H$4:$H$15)=YEAR(C306))*(MONTH(Hipoteca!$H$4:$H$15)=MONTH(C306))*(Hipoteca!$H$4:$H$15&lt;&gt;"")*Hipoteca!$I$4:$I$15))</f>
        <v>0</v>
      </c>
      <c r="J306" s="24">
        <f>MAX(0,E306-H306-I306)</f>
        <v>12423.875173983193</v>
      </c>
      <c r="K306" s="21">
        <f>IF(E306&lt;=0.005,0,IF(Hipoteca!$C$8="Reducir cuota",$K$6-(B306-1),IFERROR(MAX(1,ROUNDUP(NPER(D305/12,-F305,E306),0)),$K$6-(B306-1))))</f>
        <v>19</v>
      </c>
      <c r="L306" s="21">
        <f>YEAR(C306)</f>
        <v>2051</v>
      </c>
      <c r="N306" s="25">
        <f>R305</f>
        <v>41767.22552081458</v>
      </c>
      <c r="O306" s="25">
        <f>IF(N306&lt;=0.005,0,IF(D306&lt;&gt;D305,PMT(D306/12,Hipoteca!$C$5*12-(B306-1),-N306),O305))</f>
        <v>748.6477272887904</v>
      </c>
      <c r="P306" s="25">
        <f>N306*D306/12</f>
        <v>100.9374616753019</v>
      </c>
      <c r="Q306" s="25">
        <f>IF(N306&lt;=0.005,0,MIN(N306,O306-P306))</f>
        <v>647.7102656134884</v>
      </c>
      <c r="R306" s="25">
        <f>MAX(0,N306-Q306)</f>
        <v>41119.51525520109</v>
      </c>
    </row>
    <row r="307" spans="2:18" ht="18" customHeight="1">
      <c r="B307" s="21">
        <f>ROW()-5</f>
        <v>302</v>
      </c>
      <c r="C307" s="22">
        <f>EDATE(Hipoteca!$C$7,B307-1)</f>
        <v>55488.0</v>
      </c>
      <c r="D307" s="23">
        <f>IFERROR(LOOKUP(2,1/((Hipoteca!$E$4:$E$9&lt;&gt;"")*(Hipoteca!$E$4:$E$9&lt;=C307)),Hipoteca!$F$4:$F$9),Hipoteca!$C$6)</f>
        <v>0.029</v>
      </c>
      <c r="E307" s="24">
        <f>J306</f>
        <v>12423.875173983193</v>
      </c>
      <c r="F307" s="24">
        <f>IF(E307&lt;=0.005,0,MIN(E307*(1+D307/12),IF(OR(Hipoteca!$C$8="Reducir cuota",D307&lt;&gt;D306),PMT(D307/12,K307,-E307),F306)))</f>
        <v>746.6003367545769</v>
      </c>
      <c r="G307" s="24">
        <f>E307*D307/12</f>
        <v>30.02436500379272</v>
      </c>
      <c r="H307" s="24">
        <f>IF(E307&lt;=0.005,0,MIN(E307,F307-G307))</f>
        <v>716.5759717507842</v>
      </c>
      <c r="I307" s="24">
        <f>MIN(E307-H307,SUMPRODUCT((YEAR(Hipoteca!$H$4:$H$15)=YEAR(C307))*(MONTH(Hipoteca!$H$4:$H$15)=MONTH(C307))*(Hipoteca!$H$4:$H$15&lt;&gt;"")*Hipoteca!$I$4:$I$15))</f>
        <v>0</v>
      </c>
      <c r="J307" s="24">
        <f>MAX(0,E307-H307-I307)</f>
        <v>11707.299202232409</v>
      </c>
      <c r="K307" s="21">
        <f>IF(E307&lt;=0.005,0,IF(Hipoteca!$C$8="Reducir cuota",$K$6-(B307-1),IFERROR(MAX(1,ROUNDUP(NPER(D306/12,-F306,E307),0)),$K$6-(B307-1))))</f>
        <v>18</v>
      </c>
      <c r="L307" s="21">
        <f>YEAR(C307)</f>
        <v>2051</v>
      </c>
      <c r="N307" s="25">
        <f>R306</f>
        <v>41119.51525520109</v>
      </c>
      <c r="O307" s="25">
        <f>IF(N307&lt;=0.005,0,IF(D307&lt;&gt;D306,PMT(D307/12,Hipoteca!$C$5*12-(B307-1),-N307),O306))</f>
        <v>748.6477272887904</v>
      </c>
      <c r="P307" s="25">
        <f>N307*D307/12</f>
        <v>99.37216186673596</v>
      </c>
      <c r="Q307" s="25">
        <f>IF(N307&lt;=0.005,0,MIN(N307,O307-P307))</f>
        <v>649.2755654220545</v>
      </c>
      <c r="R307" s="25">
        <f>MAX(0,N307-Q307)</f>
        <v>40470.23968977904</v>
      </c>
    </row>
    <row r="308" spans="2:18" ht="18" customHeight="1">
      <c r="B308" s="21">
        <f>ROW()-5</f>
        <v>303</v>
      </c>
      <c r="C308" s="22">
        <f>EDATE(Hipoteca!$C$7,B308-1)</f>
        <v>55519.0</v>
      </c>
      <c r="D308" s="23">
        <f>IFERROR(LOOKUP(2,1/((Hipoteca!$E$4:$E$9&lt;&gt;"")*(Hipoteca!$E$4:$E$9&lt;=C308)),Hipoteca!$F$4:$F$9),Hipoteca!$C$6)</f>
        <v>0.029</v>
      </c>
      <c r="E308" s="24">
        <f>J307</f>
        <v>11707.299202232409</v>
      </c>
      <c r="F308" s="24">
        <f>IF(E308&lt;=0.005,0,MIN(E308*(1+D308/12),IF(OR(Hipoteca!$C$8="Reducir cuota",D308&lt;&gt;D307),PMT(D308/12,K308,-E308),F307)))</f>
        <v>746.6003367545769</v>
      </c>
      <c r="G308" s="24">
        <f>E308*D308/12</f>
        <v>28.292639738728322</v>
      </c>
      <c r="H308" s="24">
        <f>IF(E308&lt;=0.005,0,MIN(E308,F308-G308))</f>
        <v>718.3076970158486</v>
      </c>
      <c r="I308" s="24">
        <f>MIN(E308-H308,SUMPRODUCT((YEAR(Hipoteca!$H$4:$H$15)=YEAR(C308))*(MONTH(Hipoteca!$H$4:$H$15)=MONTH(C308))*(Hipoteca!$H$4:$H$15&lt;&gt;"")*Hipoteca!$I$4:$I$15))</f>
        <v>0</v>
      </c>
      <c r="J308" s="24">
        <f>MAX(0,E308-H308-I308)</f>
        <v>10988.99150521656</v>
      </c>
      <c r="K308" s="21">
        <f>IF(E308&lt;=0.005,0,IF(Hipoteca!$C$8="Reducir cuota",$K$6-(B308-1),IFERROR(MAX(1,ROUNDUP(NPER(D307/12,-F307,E308),0)),$K$6-(B308-1))))</f>
        <v>17</v>
      </c>
      <c r="L308" s="21">
        <f>YEAR(C308)</f>
        <v>2052</v>
      </c>
      <c r="N308" s="25">
        <f>R307</f>
        <v>40470.23968977904</v>
      </c>
      <c r="O308" s="25">
        <f>IF(N308&lt;=0.005,0,IF(D308&lt;&gt;D307,PMT(D308/12,Hipoteca!$C$5*12-(B308-1),-N308),O307))</f>
        <v>748.6477272887904</v>
      </c>
      <c r="P308" s="25">
        <f>N308*D308/12</f>
        <v>97.80307925029935</v>
      </c>
      <c r="Q308" s="25">
        <f>IF(N308&lt;=0.005,0,MIN(N308,O308-P308))</f>
        <v>650.8446480384911</v>
      </c>
      <c r="R308" s="25">
        <f>MAX(0,N308-Q308)</f>
        <v>39819.39504174055</v>
      </c>
    </row>
    <row r="309" spans="2:18" ht="18" customHeight="1">
      <c r="B309" s="21">
        <f>ROW()-5</f>
        <v>304</v>
      </c>
      <c r="C309" s="22">
        <f>EDATE(Hipoteca!$C$7,B309-1)</f>
        <v>55550.0</v>
      </c>
      <c r="D309" s="23">
        <f>IFERROR(LOOKUP(2,1/((Hipoteca!$E$4:$E$9&lt;&gt;"")*(Hipoteca!$E$4:$E$9&lt;=C309)),Hipoteca!$F$4:$F$9),Hipoteca!$C$6)</f>
        <v>0.029</v>
      </c>
      <c r="E309" s="24">
        <f>J308</f>
        <v>10988.99150521656</v>
      </c>
      <c r="F309" s="24">
        <f>IF(E309&lt;=0.005,0,MIN(E309*(1+D309/12),IF(OR(Hipoteca!$C$8="Reducir cuota",D309&lt;&gt;D308),PMT(D309/12,K309,-E309),F308)))</f>
        <v>746.6003367545769</v>
      </c>
      <c r="G309" s="24">
        <f>E309*D309/12</f>
        <v>26.556729470940024</v>
      </c>
      <c r="H309" s="24">
        <f>IF(E309&lt;=0.005,0,MIN(E309,F309-G309))</f>
        <v>720.0436072836369</v>
      </c>
      <c r="I309" s="24">
        <f>MIN(E309-H309,SUMPRODUCT((YEAR(Hipoteca!$H$4:$H$15)=YEAR(C309))*(MONTH(Hipoteca!$H$4:$H$15)=MONTH(C309))*(Hipoteca!$H$4:$H$15&lt;&gt;"")*Hipoteca!$I$4:$I$15))</f>
        <v>0</v>
      </c>
      <c r="J309" s="24">
        <f>MAX(0,E309-H309-I309)</f>
        <v>10268.947897932923</v>
      </c>
      <c r="K309" s="21">
        <f>IF(E309&lt;=0.005,0,IF(Hipoteca!$C$8="Reducir cuota",$K$6-(B309-1),IFERROR(MAX(1,ROUNDUP(NPER(D308/12,-F308,E309),0)),$K$6-(B309-1))))</f>
        <v>16</v>
      </c>
      <c r="L309" s="21">
        <f>YEAR(C309)</f>
        <v>2052</v>
      </c>
      <c r="N309" s="25">
        <f>R308</f>
        <v>39819.39504174055</v>
      </c>
      <c r="O309" s="25">
        <f>IF(N309&lt;=0.005,0,IF(D309&lt;&gt;D308,PMT(D309/12,Hipoteca!$C$5*12-(B309-1),-N309),O308))</f>
        <v>748.6477272887904</v>
      </c>
      <c r="P309" s="25">
        <f>N309*D309/12</f>
        <v>96.23020468420634</v>
      </c>
      <c r="Q309" s="25">
        <f>IF(N309&lt;=0.005,0,MIN(N309,O309-P309))</f>
        <v>652.4175226045841</v>
      </c>
      <c r="R309" s="25">
        <f>MAX(0,N309-Q309)</f>
        <v>39166.977519135966</v>
      </c>
    </row>
    <row r="310" spans="2:18" ht="18" customHeight="1">
      <c r="B310" s="21">
        <f>ROW()-5</f>
        <v>305</v>
      </c>
      <c r="C310" s="22">
        <f>EDATE(Hipoteca!$C$7,B310-1)</f>
        <v>55579.0</v>
      </c>
      <c r="D310" s="23">
        <f>IFERROR(LOOKUP(2,1/((Hipoteca!$E$4:$E$9&lt;&gt;"")*(Hipoteca!$E$4:$E$9&lt;=C310)),Hipoteca!$F$4:$F$9),Hipoteca!$C$6)</f>
        <v>0.029</v>
      </c>
      <c r="E310" s="24">
        <f>J309</f>
        <v>10268.947897932923</v>
      </c>
      <c r="F310" s="24">
        <f>IF(E310&lt;=0.005,0,MIN(E310*(1+D310/12),IF(OR(Hipoteca!$C$8="Reducir cuota",D310&lt;&gt;D309),PMT(D310/12,K310,-E310),F309)))</f>
        <v>746.6003367545769</v>
      </c>
      <c r="G310" s="24">
        <f>E310*D310/12</f>
        <v>24.81662408667123</v>
      </c>
      <c r="H310" s="24">
        <f>IF(E310&lt;=0.005,0,MIN(E310,F310-G310))</f>
        <v>721.7837126679057</v>
      </c>
      <c r="I310" s="24">
        <f>MIN(E310-H310,SUMPRODUCT((YEAR(Hipoteca!$H$4:$H$15)=YEAR(C310))*(MONTH(Hipoteca!$H$4:$H$15)=MONTH(C310))*(Hipoteca!$H$4:$H$15&lt;&gt;"")*Hipoteca!$I$4:$I$15))</f>
        <v>0</v>
      </c>
      <c r="J310" s="24">
        <f>MAX(0,E310-H310-I310)</f>
        <v>9547.164185265017</v>
      </c>
      <c r="K310" s="21">
        <f>IF(E310&lt;=0.005,0,IF(Hipoteca!$C$8="Reducir cuota",$K$6-(B310-1),IFERROR(MAX(1,ROUNDUP(NPER(D309/12,-F309,E310),0)),$K$6-(B310-1))))</f>
        <v>15</v>
      </c>
      <c r="L310" s="21">
        <f>YEAR(C310)</f>
        <v>2052</v>
      </c>
      <c r="N310" s="25">
        <f>R309</f>
        <v>39166.977519135966</v>
      </c>
      <c r="O310" s="25">
        <f>IF(N310&lt;=0.005,0,IF(D310&lt;&gt;D309,PMT(D310/12,Hipoteca!$C$5*12-(B310-1),-N310),O309))</f>
        <v>748.6477272887904</v>
      </c>
      <c r="P310" s="25">
        <f>N310*D310/12</f>
        <v>94.6535290045786</v>
      </c>
      <c r="Q310" s="25">
        <f>IF(N310&lt;=0.005,0,MIN(N310,O310-P310))</f>
        <v>653.9941982842118</v>
      </c>
      <c r="R310" s="25">
        <f>MAX(0,N310-Q310)</f>
        <v>38512.98332085175</v>
      </c>
    </row>
    <row r="311" spans="2:18" ht="18" customHeight="1">
      <c r="B311" s="21">
        <f>ROW()-5</f>
        <v>306</v>
      </c>
      <c r="C311" s="22">
        <f>EDATE(Hipoteca!$C$7,B311-1)</f>
        <v>55610.0</v>
      </c>
      <c r="D311" s="23">
        <f>IFERROR(LOOKUP(2,1/((Hipoteca!$E$4:$E$9&lt;&gt;"")*(Hipoteca!$E$4:$E$9&lt;=C311)),Hipoteca!$F$4:$F$9),Hipoteca!$C$6)</f>
        <v>0.029</v>
      </c>
      <c r="E311" s="24">
        <f>J310</f>
        <v>9547.164185265017</v>
      </c>
      <c r="F311" s="24">
        <f>IF(E311&lt;=0.005,0,MIN(E311*(1+D311/12),IF(OR(Hipoteca!$C$8="Reducir cuota",D311&lt;&gt;D310),PMT(D311/12,K311,-E311),F310)))</f>
        <v>746.6003367545769</v>
      </c>
      <c r="G311" s="24">
        <f>E311*D311/12</f>
        <v>23.07231344772379</v>
      </c>
      <c r="H311" s="24">
        <f>IF(E311&lt;=0.005,0,MIN(E311,F311-G311))</f>
        <v>723.5280233068531</v>
      </c>
      <c r="I311" s="24">
        <f>MIN(E311-H311,SUMPRODUCT((YEAR(Hipoteca!$H$4:$H$15)=YEAR(C311))*(MONTH(Hipoteca!$H$4:$H$15)=MONTH(C311))*(Hipoteca!$H$4:$H$15&lt;&gt;"")*Hipoteca!$I$4:$I$15))</f>
        <v>0</v>
      </c>
      <c r="J311" s="24">
        <f>MAX(0,E311-H311-I311)</f>
        <v>8823.636161958164</v>
      </c>
      <c r="K311" s="21">
        <f>IF(E311&lt;=0.005,0,IF(Hipoteca!$C$8="Reducir cuota",$K$6-(B311-1),IFERROR(MAX(1,ROUNDUP(NPER(D310/12,-F310,E311),0)),$K$6-(B311-1))))</f>
        <v>14</v>
      </c>
      <c r="L311" s="21">
        <f>YEAR(C311)</f>
        <v>2052</v>
      </c>
      <c r="N311" s="25">
        <f>R310</f>
        <v>38512.98332085175</v>
      </c>
      <c r="O311" s="25">
        <f>IF(N311&lt;=0.005,0,IF(D311&lt;&gt;D310,PMT(D311/12,Hipoteca!$C$5*12-(B311-1),-N311),O310))</f>
        <v>748.6477272887904</v>
      </c>
      <c r="P311" s="25">
        <f>N311*D311/12</f>
        <v>93.07304302539173</v>
      </c>
      <c r="Q311" s="25">
        <f>IF(N311&lt;=0.005,0,MIN(N311,O311-P311))</f>
        <v>655.5746842633987</v>
      </c>
      <c r="R311" s="25">
        <f>MAX(0,N311-Q311)</f>
        <v>37857.408636588356</v>
      </c>
    </row>
    <row r="312" spans="2:18" ht="18" customHeight="1">
      <c r="B312" s="21">
        <f>ROW()-5</f>
        <v>307</v>
      </c>
      <c r="C312" s="22">
        <f>EDATE(Hipoteca!$C$7,B312-1)</f>
        <v>55640.0</v>
      </c>
      <c r="D312" s="23">
        <f>IFERROR(LOOKUP(2,1/((Hipoteca!$E$4:$E$9&lt;&gt;"")*(Hipoteca!$E$4:$E$9&lt;=C312)),Hipoteca!$F$4:$F$9),Hipoteca!$C$6)</f>
        <v>0.029</v>
      </c>
      <c r="E312" s="24">
        <f>J311</f>
        <v>8823.636161958164</v>
      </c>
      <c r="F312" s="24">
        <f>IF(E312&lt;=0.005,0,MIN(E312*(1+D312/12),IF(OR(Hipoteca!$C$8="Reducir cuota",D312&lt;&gt;D311),PMT(D312/12,K312,-E312),F311)))</f>
        <v>746.6003367545769</v>
      </c>
      <c r="G312" s="24">
        <f>E312*D312/12</f>
        <v>21.3237873913989</v>
      </c>
      <c r="H312" s="24">
        <f>IF(E312&lt;=0.005,0,MIN(E312,F312-G312))</f>
        <v>725.276549363178</v>
      </c>
      <c r="I312" s="24">
        <f>MIN(E312-H312,SUMPRODUCT((YEAR(Hipoteca!$H$4:$H$15)=YEAR(C312))*(MONTH(Hipoteca!$H$4:$H$15)=MONTH(C312))*(Hipoteca!$H$4:$H$15&lt;&gt;"")*Hipoteca!$I$4:$I$15))</f>
        <v>0</v>
      </c>
      <c r="J312" s="24">
        <f>MAX(0,E312-H312-I312)</f>
        <v>8098.359612594986</v>
      </c>
      <c r="K312" s="21">
        <f>IF(E312&lt;=0.005,0,IF(Hipoteca!$C$8="Reducir cuota",$K$6-(B312-1),IFERROR(MAX(1,ROUNDUP(NPER(D311/12,-F311,E312),0)),$K$6-(B312-1))))</f>
        <v>13</v>
      </c>
      <c r="L312" s="21">
        <f>YEAR(C312)</f>
        <v>2052</v>
      </c>
      <c r="N312" s="25">
        <f>R311</f>
        <v>37857.408636588356</v>
      </c>
      <c r="O312" s="25">
        <f>IF(N312&lt;=0.005,0,IF(D312&lt;&gt;D311,PMT(D312/12,Hipoteca!$C$5*12-(B312-1),-N312),O311))</f>
        <v>748.6477272887904</v>
      </c>
      <c r="P312" s="25">
        <f>N312*D312/12</f>
        <v>91.48873753842186</v>
      </c>
      <c r="Q312" s="25">
        <f>IF(N312&lt;=0.005,0,MIN(N312,O312-P312))</f>
        <v>657.1589897503685</v>
      </c>
      <c r="R312" s="25">
        <f>MAX(0,N312-Q312)</f>
        <v>37200.24964683799</v>
      </c>
    </row>
    <row r="313" spans="2:18" ht="18" customHeight="1">
      <c r="B313" s="21">
        <f>ROW()-5</f>
        <v>308</v>
      </c>
      <c r="C313" s="22">
        <f>EDATE(Hipoteca!$C$7,B313-1)</f>
        <v>55671.0</v>
      </c>
      <c r="D313" s="23">
        <f>IFERROR(LOOKUP(2,1/((Hipoteca!$E$4:$E$9&lt;&gt;"")*(Hipoteca!$E$4:$E$9&lt;=C313)),Hipoteca!$F$4:$F$9),Hipoteca!$C$6)</f>
        <v>0.029</v>
      </c>
      <c r="E313" s="24">
        <f>J312</f>
        <v>8098.359612594986</v>
      </c>
      <c r="F313" s="24">
        <f>IF(E313&lt;=0.005,0,MIN(E313*(1+D313/12),IF(OR(Hipoteca!$C$8="Reducir cuota",D313&lt;&gt;D312),PMT(D313/12,K313,-E313),F312)))</f>
        <v>746.6003367545769</v>
      </c>
      <c r="G313" s="24">
        <f>E313*D313/12</f>
        <v>19.571035730437885</v>
      </c>
      <c r="H313" s="24">
        <f>IF(E313&lt;=0.005,0,MIN(E313,F313-G313))</f>
        <v>727.029301024139</v>
      </c>
      <c r="I313" s="24">
        <f>MIN(E313-H313,SUMPRODUCT((YEAR(Hipoteca!$H$4:$H$15)=YEAR(C313))*(MONTH(Hipoteca!$H$4:$H$15)=MONTH(C313))*(Hipoteca!$H$4:$H$15&lt;&gt;"")*Hipoteca!$I$4:$I$15))</f>
        <v>0</v>
      </c>
      <c r="J313" s="24">
        <f>MAX(0,E313-H313-I313)</f>
        <v>7371.330311570847</v>
      </c>
      <c r="K313" s="21">
        <f>IF(E313&lt;=0.005,0,IF(Hipoteca!$C$8="Reducir cuota",$K$6-(B313-1),IFERROR(MAX(1,ROUNDUP(NPER(D312/12,-F312,E313),0)),$K$6-(B313-1))))</f>
        <v>12</v>
      </c>
      <c r="L313" s="21">
        <f>YEAR(C313)</f>
        <v>2052</v>
      </c>
      <c r="N313" s="25">
        <f>R312</f>
        <v>37200.24964683799</v>
      </c>
      <c r="O313" s="25">
        <f>IF(N313&lt;=0.005,0,IF(D313&lt;&gt;D312,PMT(D313/12,Hipoteca!$C$5*12-(B313-1),-N313),O312))</f>
        <v>748.6477272887904</v>
      </c>
      <c r="P313" s="25">
        <f>N313*D313/12</f>
        <v>89.90060331319182</v>
      </c>
      <c r="Q313" s="25">
        <f>IF(N313&lt;=0.005,0,MIN(N313,O313-P313))</f>
        <v>658.7471239755986</v>
      </c>
      <c r="R313" s="25">
        <f>MAX(0,N313-Q313)</f>
        <v>36541.50252286239</v>
      </c>
    </row>
    <row r="314" spans="2:18" ht="18" customHeight="1">
      <c r="B314" s="21">
        <f>ROW()-5</f>
        <v>309</v>
      </c>
      <c r="C314" s="22">
        <f>EDATE(Hipoteca!$C$7,B314-1)</f>
        <v>55701.0</v>
      </c>
      <c r="D314" s="23">
        <f>IFERROR(LOOKUP(2,1/((Hipoteca!$E$4:$E$9&lt;&gt;"")*(Hipoteca!$E$4:$E$9&lt;=C314)),Hipoteca!$F$4:$F$9),Hipoteca!$C$6)</f>
        <v>0.029</v>
      </c>
      <c r="E314" s="24">
        <f>J313</f>
        <v>7371.330311570847</v>
      </c>
      <c r="F314" s="24">
        <f>IF(E314&lt;=0.005,0,MIN(E314*(1+D314/12),IF(OR(Hipoteca!$C$8="Reducir cuota",D314&lt;&gt;D313),PMT(D314/12,K314,-E314),F313)))</f>
        <v>746.6003367545769</v>
      </c>
      <c r="G314" s="24">
        <f>E314*D314/12</f>
        <v>17.81404825296288</v>
      </c>
      <c r="H314" s="24">
        <f>IF(E314&lt;=0.005,0,MIN(E314,F314-G314))</f>
        <v>728.7862885016141</v>
      </c>
      <c r="I314" s="24">
        <f>MIN(E314-H314,SUMPRODUCT((YEAR(Hipoteca!$H$4:$H$15)=YEAR(C314))*(MONTH(Hipoteca!$H$4:$H$15)=MONTH(C314))*(Hipoteca!$H$4:$H$15&lt;&gt;"")*Hipoteca!$I$4:$I$15))</f>
        <v>0</v>
      </c>
      <c r="J314" s="24">
        <f>MAX(0,E314-H314-I314)</f>
        <v>6642.544023069233</v>
      </c>
      <c r="K314" s="21">
        <f>IF(E314&lt;=0.005,0,IF(Hipoteca!$C$8="Reducir cuota",$K$6-(B314-1),IFERROR(MAX(1,ROUNDUP(NPER(D313/12,-F313,E314),0)),$K$6-(B314-1))))</f>
        <v>11</v>
      </c>
      <c r="L314" s="21">
        <f>YEAR(C314)</f>
        <v>2052</v>
      </c>
      <c r="N314" s="25">
        <f>R313</f>
        <v>36541.50252286239</v>
      </c>
      <c r="O314" s="25">
        <f>IF(N314&lt;=0.005,0,IF(D314&lt;&gt;D313,PMT(D314/12,Hipoteca!$C$5*12-(B314-1),-N314),O313))</f>
        <v>748.6477272887904</v>
      </c>
      <c r="P314" s="25">
        <f>N314*D314/12</f>
        <v>88.30863109691745</v>
      </c>
      <c r="Q314" s="25">
        <f>IF(N314&lt;=0.005,0,MIN(N314,O314-P314))</f>
        <v>660.339096191873</v>
      </c>
      <c r="R314" s="25">
        <f>MAX(0,N314-Q314)</f>
        <v>35881.16342667052</v>
      </c>
    </row>
    <row r="315" spans="2:18" ht="18" customHeight="1">
      <c r="B315" s="21">
        <f>ROW()-5</f>
        <v>310</v>
      </c>
      <c r="C315" s="22">
        <f>EDATE(Hipoteca!$C$7,B315-1)</f>
        <v>55732.0</v>
      </c>
      <c r="D315" s="23">
        <f>IFERROR(LOOKUP(2,1/((Hipoteca!$E$4:$E$9&lt;&gt;"")*(Hipoteca!$E$4:$E$9&lt;=C315)),Hipoteca!$F$4:$F$9),Hipoteca!$C$6)</f>
        <v>0.029</v>
      </c>
      <c r="E315" s="24">
        <f>J314</f>
        <v>6642.544023069233</v>
      </c>
      <c r="F315" s="24">
        <f>IF(E315&lt;=0.005,0,MIN(E315*(1+D315/12),IF(OR(Hipoteca!$C$8="Reducir cuota",D315&lt;&gt;D314),PMT(D315/12,K315,-E315),F314)))</f>
        <v>746.6003367545769</v>
      </c>
      <c r="G315" s="24">
        <f>E315*D315/12</f>
        <v>16.052814722417313</v>
      </c>
      <c r="H315" s="24">
        <f>IF(E315&lt;=0.005,0,MIN(E315,F315-G315))</f>
        <v>730.5475220321596</v>
      </c>
      <c r="I315" s="24">
        <f>MIN(E315-H315,SUMPRODUCT((YEAR(Hipoteca!$H$4:$H$15)=YEAR(C315))*(MONTH(Hipoteca!$H$4:$H$15)=MONTH(C315))*(Hipoteca!$H$4:$H$15&lt;&gt;"")*Hipoteca!$I$4:$I$15))</f>
        <v>0</v>
      </c>
      <c r="J315" s="24">
        <f>MAX(0,E315-H315-I315)</f>
        <v>5911.996501037073</v>
      </c>
      <c r="K315" s="21">
        <f>IF(E315&lt;=0.005,0,IF(Hipoteca!$C$8="Reducir cuota",$K$6-(B315-1),IFERROR(MAX(1,ROUNDUP(NPER(D314/12,-F314,E315),0)),$K$6-(B315-1))))</f>
        <v>10</v>
      </c>
      <c r="L315" s="21">
        <f>YEAR(C315)</f>
        <v>2052</v>
      </c>
      <c r="N315" s="25">
        <f>R314</f>
        <v>35881.16342667052</v>
      </c>
      <c r="O315" s="25">
        <f>IF(N315&lt;=0.005,0,IF(D315&lt;&gt;D314,PMT(D315/12,Hipoteca!$C$5*12-(B315-1),-N315),O314))</f>
        <v>748.6477272887904</v>
      </c>
      <c r="P315" s="25">
        <f>N315*D315/12</f>
        <v>86.71281161445377</v>
      </c>
      <c r="Q315" s="25">
        <f>IF(N315&lt;=0.005,0,MIN(N315,O315-P315))</f>
        <v>661.9349156743366</v>
      </c>
      <c r="R315" s="25">
        <f>MAX(0,N315-Q315)</f>
        <v>35219.22851099619</v>
      </c>
    </row>
    <row r="316" spans="2:18" ht="18" customHeight="1">
      <c r="B316" s="21">
        <f>ROW()-5</f>
        <v>311</v>
      </c>
      <c r="C316" s="22">
        <f>EDATE(Hipoteca!$C$7,B316-1)</f>
        <v>55763.0</v>
      </c>
      <c r="D316" s="23">
        <f>IFERROR(LOOKUP(2,1/((Hipoteca!$E$4:$E$9&lt;&gt;"")*(Hipoteca!$E$4:$E$9&lt;=C316)),Hipoteca!$F$4:$F$9),Hipoteca!$C$6)</f>
        <v>0.029</v>
      </c>
      <c r="E316" s="24">
        <f>J315</f>
        <v>5911.996501037073</v>
      </c>
      <c r="F316" s="24">
        <f>IF(E316&lt;=0.005,0,MIN(E316*(1+D316/12),IF(OR(Hipoteca!$C$8="Reducir cuota",D316&lt;&gt;D315),PMT(D316/12,K316,-E316),F315)))</f>
        <v>746.6003367545769</v>
      </c>
      <c r="G316" s="24">
        <f>E316*D316/12</f>
        <v>14.28732487750626</v>
      </c>
      <c r="H316" s="24">
        <f>IF(E316&lt;=0.005,0,MIN(E316,F316-G316))</f>
        <v>732.3130118770706</v>
      </c>
      <c r="I316" s="24">
        <f>MIN(E316-H316,SUMPRODUCT((YEAR(Hipoteca!$H$4:$H$15)=YEAR(C316))*(MONTH(Hipoteca!$H$4:$H$15)=MONTH(C316))*(Hipoteca!$H$4:$H$15&lt;&gt;"")*Hipoteca!$I$4:$I$15))</f>
        <v>0</v>
      </c>
      <c r="J316" s="24">
        <f>MAX(0,E316-H316-I316)</f>
        <v>5179.683489160003</v>
      </c>
      <c r="K316" s="21">
        <f>IF(E316&lt;=0.005,0,IF(Hipoteca!$C$8="Reducir cuota",$K$6-(B316-1),IFERROR(MAX(1,ROUNDUP(NPER(D315/12,-F315,E316),0)),$K$6-(B316-1))))</f>
        <v>9</v>
      </c>
      <c r="L316" s="21">
        <f>YEAR(C316)</f>
        <v>2052</v>
      </c>
      <c r="N316" s="25">
        <f>R315</f>
        <v>35219.22851099619</v>
      </c>
      <c r="O316" s="25">
        <f>IF(N316&lt;=0.005,0,IF(D316&lt;&gt;D315,PMT(D316/12,Hipoteca!$C$5*12-(B316-1),-N316),O315))</f>
        <v>748.6477272887904</v>
      </c>
      <c r="P316" s="25">
        <f>N316*D316/12</f>
        <v>85.11313556824079</v>
      </c>
      <c r="Q316" s="25">
        <f>IF(N316&lt;=0.005,0,MIN(N316,O316-P316))</f>
        <v>663.5345917205497</v>
      </c>
      <c r="R316" s="25">
        <f>MAX(0,N316-Q316)</f>
        <v>34555.69391927564</v>
      </c>
    </row>
    <row r="317" spans="2:18" ht="18" customHeight="1">
      <c r="B317" s="21">
        <f>ROW()-5</f>
        <v>312</v>
      </c>
      <c r="C317" s="22">
        <f>EDATE(Hipoteca!$C$7,B317-1)</f>
        <v>55793.0</v>
      </c>
      <c r="D317" s="23">
        <f>IFERROR(LOOKUP(2,1/((Hipoteca!$E$4:$E$9&lt;&gt;"")*(Hipoteca!$E$4:$E$9&lt;=C317)),Hipoteca!$F$4:$F$9),Hipoteca!$C$6)</f>
        <v>0.029</v>
      </c>
      <c r="E317" s="24">
        <f>J316</f>
        <v>5179.683489160003</v>
      </c>
      <c r="F317" s="24">
        <f>IF(E317&lt;=0.005,0,MIN(E317*(1+D317/12),IF(OR(Hipoteca!$C$8="Reducir cuota",D317&lt;&gt;D316),PMT(D317/12,K317,-E317),F316)))</f>
        <v>746.6003367545769</v>
      </c>
      <c r="G317" s="24">
        <f>E317*D317/12</f>
        <v>12.517568432136676</v>
      </c>
      <c r="H317" s="24">
        <f>IF(E317&lt;=0.005,0,MIN(E317,F317-G317))</f>
        <v>734.0827683224402</v>
      </c>
      <c r="I317" s="24">
        <f>MIN(E317-H317,SUMPRODUCT((YEAR(Hipoteca!$H$4:$H$15)=YEAR(C317))*(MONTH(Hipoteca!$H$4:$H$15)=MONTH(C317))*(Hipoteca!$H$4:$H$15&lt;&gt;"")*Hipoteca!$I$4:$I$15))</f>
        <v>0</v>
      </c>
      <c r="J317" s="24">
        <f>MAX(0,E317-H317-I317)</f>
        <v>4445.600720837563</v>
      </c>
      <c r="K317" s="21">
        <f>IF(E317&lt;=0.005,0,IF(Hipoteca!$C$8="Reducir cuota",$K$6-(B317-1),IFERROR(MAX(1,ROUNDUP(NPER(D316/12,-F316,E317),0)),$K$6-(B317-1))))</f>
        <v>8</v>
      </c>
      <c r="L317" s="21">
        <f>YEAR(C317)</f>
        <v>2052</v>
      </c>
      <c r="N317" s="25">
        <f>R316</f>
        <v>34555.69391927564</v>
      </c>
      <c r="O317" s="25">
        <f>IF(N317&lt;=0.005,0,IF(D317&lt;&gt;D316,PMT(D317/12,Hipoteca!$C$5*12-(B317-1),-N317),O316))</f>
        <v>748.6477272887904</v>
      </c>
      <c r="P317" s="25">
        <f>N317*D317/12</f>
        <v>83.50959363824947</v>
      </c>
      <c r="Q317" s="25">
        <f>IF(N317&lt;=0.005,0,MIN(N317,O317-P317))</f>
        <v>665.1381336505409</v>
      </c>
      <c r="R317" s="25">
        <f>MAX(0,N317-Q317)</f>
        <v>33890.555785625096</v>
      </c>
    </row>
    <row r="318" spans="2:18" ht="18" customHeight="1">
      <c r="B318" s="21">
        <f>ROW()-5</f>
        <v>313</v>
      </c>
      <c r="C318" s="22">
        <f>EDATE(Hipoteca!$C$7,B318-1)</f>
        <v>55824.0</v>
      </c>
      <c r="D318" s="23">
        <f>IFERROR(LOOKUP(2,1/((Hipoteca!$E$4:$E$9&lt;&gt;"")*(Hipoteca!$E$4:$E$9&lt;=C318)),Hipoteca!$F$4:$F$9),Hipoteca!$C$6)</f>
        <v>0.029</v>
      </c>
      <c r="E318" s="24">
        <f>J317</f>
        <v>4445.600720837563</v>
      </c>
      <c r="F318" s="24">
        <f>IF(E318&lt;=0.005,0,MIN(E318*(1+D318/12),IF(OR(Hipoteca!$C$8="Reducir cuota",D318&lt;&gt;D317),PMT(D318/12,K318,-E318),F317)))</f>
        <v>746.6003367545769</v>
      </c>
      <c r="G318" s="24">
        <f>E318*D318/12</f>
        <v>10.743535075357444</v>
      </c>
      <c r="H318" s="24">
        <f>IF(E318&lt;=0.005,0,MIN(E318,F318-G318))</f>
        <v>735.8568016792194</v>
      </c>
      <c r="I318" s="24">
        <f>MIN(E318-H318,SUMPRODUCT((YEAR(Hipoteca!$H$4:$H$15)=YEAR(C318))*(MONTH(Hipoteca!$H$4:$H$15)=MONTH(C318))*(Hipoteca!$H$4:$H$15&lt;&gt;"")*Hipoteca!$I$4:$I$15))</f>
        <v>0</v>
      </c>
      <c r="J318" s="24">
        <f>MAX(0,E318-H318-I318)</f>
        <v>3709.7439191583435</v>
      </c>
      <c r="K318" s="21">
        <f>IF(E318&lt;=0.005,0,IF(Hipoteca!$C$8="Reducir cuota",$K$6-(B318-1),IFERROR(MAX(1,ROUNDUP(NPER(D317/12,-F317,E318),0)),$K$6-(B318-1))))</f>
        <v>7</v>
      </c>
      <c r="L318" s="21">
        <f>YEAR(C318)</f>
        <v>2052</v>
      </c>
      <c r="N318" s="25">
        <f>R317</f>
        <v>33890.555785625096</v>
      </c>
      <c r="O318" s="25">
        <f>IF(N318&lt;=0.005,0,IF(D318&lt;&gt;D317,PMT(D318/12,Hipoteca!$C$5*12-(B318-1),-N318),O317))</f>
        <v>748.6477272887904</v>
      </c>
      <c r="P318" s="25">
        <f>N318*D318/12</f>
        <v>81.90217648192733</v>
      </c>
      <c r="Q318" s="25">
        <f>IF(N318&lt;=0.005,0,MIN(N318,O318-P318))</f>
        <v>666.7455508068631</v>
      </c>
      <c r="R318" s="25">
        <f>MAX(0,N318-Q318)</f>
        <v>33223.81023481824</v>
      </c>
    </row>
    <row r="319" spans="2:18" ht="18" customHeight="1">
      <c r="B319" s="21">
        <f>ROW()-5</f>
        <v>314</v>
      </c>
      <c r="C319" s="22">
        <f>EDATE(Hipoteca!$C$7,B319-1)</f>
        <v>55854.0</v>
      </c>
      <c r="D319" s="23">
        <f>IFERROR(LOOKUP(2,1/((Hipoteca!$E$4:$E$9&lt;&gt;"")*(Hipoteca!$E$4:$E$9&lt;=C319)),Hipoteca!$F$4:$F$9),Hipoteca!$C$6)</f>
        <v>0.029</v>
      </c>
      <c r="E319" s="24">
        <f>J318</f>
        <v>3709.7439191583435</v>
      </c>
      <c r="F319" s="24">
        <f>IF(E319&lt;=0.005,0,MIN(E319*(1+D319/12),IF(OR(Hipoteca!$C$8="Reducir cuota",D319&lt;&gt;D318),PMT(D319/12,K319,-E319),F318)))</f>
        <v>746.6003367545769</v>
      </c>
      <c r="G319" s="24">
        <f>E319*D319/12</f>
        <v>8.965214471299332</v>
      </c>
      <c r="H319" s="24">
        <f>IF(E319&lt;=0.005,0,MIN(E319,F319-G319))</f>
        <v>737.6351222832776</v>
      </c>
      <c r="I319" s="24">
        <f>MIN(E319-H319,SUMPRODUCT((YEAR(Hipoteca!$H$4:$H$15)=YEAR(C319))*(MONTH(Hipoteca!$H$4:$H$15)=MONTH(C319))*(Hipoteca!$H$4:$H$15&lt;&gt;"")*Hipoteca!$I$4:$I$15))</f>
        <v>0</v>
      </c>
      <c r="J319" s="24">
        <f>MAX(0,E319-H319-I319)</f>
        <v>2972.1087968750658</v>
      </c>
      <c r="K319" s="21">
        <f>IF(E319&lt;=0.005,0,IF(Hipoteca!$C$8="Reducir cuota",$K$6-(B319-1),IFERROR(MAX(1,ROUNDUP(NPER(D318/12,-F318,E319),0)),$K$6-(B319-1))))</f>
        <v>6</v>
      </c>
      <c r="L319" s="21">
        <f>YEAR(C319)</f>
        <v>2052</v>
      </c>
      <c r="N319" s="25">
        <f>R318</f>
        <v>33223.81023481824</v>
      </c>
      <c r="O319" s="25">
        <f>IF(N319&lt;=0.005,0,IF(D319&lt;&gt;D318,PMT(D319/12,Hipoteca!$C$5*12-(B319-1),-N319),O318))</f>
        <v>748.6477272887904</v>
      </c>
      <c r="P319" s="25">
        <f>N319*D319/12</f>
        <v>80.29087473414408</v>
      </c>
      <c r="Q319" s="25">
        <f>IF(N319&lt;=0.005,0,MIN(N319,O319-P319))</f>
        <v>668.3568525546464</v>
      </c>
      <c r="R319" s="25">
        <f>MAX(0,N319-Q319)</f>
        <v>32555.45338226359</v>
      </c>
    </row>
    <row r="320" spans="2:18" ht="18" customHeight="1">
      <c r="B320" s="21">
        <f>ROW()-5</f>
        <v>315</v>
      </c>
      <c r="C320" s="22">
        <f>EDATE(Hipoteca!$C$7,B320-1)</f>
        <v>55885.0</v>
      </c>
      <c r="D320" s="23">
        <f>IFERROR(LOOKUP(2,1/((Hipoteca!$E$4:$E$9&lt;&gt;"")*(Hipoteca!$E$4:$E$9&lt;=C320)),Hipoteca!$F$4:$F$9),Hipoteca!$C$6)</f>
        <v>0.029</v>
      </c>
      <c r="E320" s="24">
        <f>J319</f>
        <v>2972.1087968750658</v>
      </c>
      <c r="F320" s="24">
        <f>IF(E320&lt;=0.005,0,MIN(E320*(1+D320/12),IF(OR(Hipoteca!$C$8="Reducir cuota",D320&lt;&gt;D319),PMT(D320/12,K320,-E320),F319)))</f>
        <v>746.6003367545769</v>
      </c>
      <c r="G320" s="24">
        <f>E320*D320/12</f>
        <v>7.182596259114742</v>
      </c>
      <c r="H320" s="24">
        <f>IF(E320&lt;=0.005,0,MIN(E320,F320-G320))</f>
        <v>739.4177404954622</v>
      </c>
      <c r="I320" s="24">
        <f>MIN(E320-H320,SUMPRODUCT((YEAR(Hipoteca!$H$4:$H$15)=YEAR(C320))*(MONTH(Hipoteca!$H$4:$H$15)=MONTH(C320))*(Hipoteca!$H$4:$H$15&lt;&gt;"")*Hipoteca!$I$4:$I$15))</f>
        <v>0</v>
      </c>
      <c r="J320" s="24">
        <f>MAX(0,E320-H320-I320)</f>
        <v>2232.6910563796037</v>
      </c>
      <c r="K320" s="21">
        <f>IF(E320&lt;=0.005,0,IF(Hipoteca!$C$8="Reducir cuota",$K$6-(B320-1),IFERROR(MAX(1,ROUNDUP(NPER(D319/12,-F319,E320),0)),$K$6-(B320-1))))</f>
        <v>5</v>
      </c>
      <c r="L320" s="21">
        <f>YEAR(C320)</f>
        <v>2053</v>
      </c>
      <c r="N320" s="25">
        <f>R319</f>
        <v>32555.45338226359</v>
      </c>
      <c r="O320" s="25">
        <f>IF(N320&lt;=0.005,0,IF(D320&lt;&gt;D319,PMT(D320/12,Hipoteca!$C$5*12-(B320-1),-N320),O319))</f>
        <v>748.6477272887904</v>
      </c>
      <c r="P320" s="25">
        <f>N320*D320/12</f>
        <v>78.67567900713702</v>
      </c>
      <c r="Q320" s="25">
        <f>IF(N320&lt;=0.005,0,MIN(N320,O320-P320))</f>
        <v>669.9720482816534</v>
      </c>
      <c r="R320" s="25">
        <f>MAX(0,N320-Q320)</f>
        <v>31885.481333981937</v>
      </c>
    </row>
    <row r="321" spans="2:18" ht="18" customHeight="1">
      <c r="B321" s="21">
        <f>ROW()-5</f>
        <v>316</v>
      </c>
      <c r="C321" s="22">
        <f>EDATE(Hipoteca!$C$7,B321-1)</f>
        <v>55916.0</v>
      </c>
      <c r="D321" s="23">
        <f>IFERROR(LOOKUP(2,1/((Hipoteca!$E$4:$E$9&lt;&gt;"")*(Hipoteca!$E$4:$E$9&lt;=C321)),Hipoteca!$F$4:$F$9),Hipoteca!$C$6)</f>
        <v>0.029</v>
      </c>
      <c r="E321" s="24">
        <f>J320</f>
        <v>2232.6910563796037</v>
      </c>
      <c r="F321" s="24">
        <f>IF(E321&lt;=0.005,0,MIN(E321*(1+D321/12),IF(OR(Hipoteca!$C$8="Reducir cuota",D321&lt;&gt;D320),PMT(D321/12,K321,-E321),F320)))</f>
        <v>746.6003367545769</v>
      </c>
      <c r="G321" s="24">
        <f>E321*D321/12</f>
        <v>5.395670052917375</v>
      </c>
      <c r="H321" s="24">
        <f>IF(E321&lt;=0.005,0,MIN(E321,F321-G321))</f>
        <v>741.2046667016596</v>
      </c>
      <c r="I321" s="24">
        <f>MIN(E321-H321,SUMPRODUCT((YEAR(Hipoteca!$H$4:$H$15)=YEAR(C321))*(MONTH(Hipoteca!$H$4:$H$15)=MONTH(C321))*(Hipoteca!$H$4:$H$15&lt;&gt;"")*Hipoteca!$I$4:$I$15))</f>
        <v>0</v>
      </c>
      <c r="J321" s="24">
        <f>MAX(0,E321-H321-I321)</f>
        <v>1491.486389677944</v>
      </c>
      <c r="K321" s="21">
        <f>IF(E321&lt;=0.005,0,IF(Hipoteca!$C$8="Reducir cuota",$K$6-(B321-1),IFERROR(MAX(1,ROUNDUP(NPER(D320/12,-F320,E321),0)),$K$6-(B321-1))))</f>
        <v>4</v>
      </c>
      <c r="L321" s="21">
        <f>YEAR(C321)</f>
        <v>2053</v>
      </c>
      <c r="N321" s="25">
        <f>R320</f>
        <v>31885.481333981937</v>
      </c>
      <c r="O321" s="25">
        <f>IF(N321&lt;=0.005,0,IF(D321&lt;&gt;D320,PMT(D321/12,Hipoteca!$C$5*12-(B321-1),-N321),O320))</f>
        <v>748.6477272887904</v>
      </c>
      <c r="P321" s="25">
        <f>N321*D321/12</f>
        <v>77.05657989045635</v>
      </c>
      <c r="Q321" s="25">
        <f>IF(N321&lt;=0.005,0,MIN(N321,O321-P321))</f>
        <v>671.5911473983341</v>
      </c>
      <c r="R321" s="25">
        <f>MAX(0,N321-Q321)</f>
        <v>31213.890186583605</v>
      </c>
    </row>
    <row r="322" spans="2:18" ht="18" customHeight="1">
      <c r="B322" s="21">
        <f>ROW()-5</f>
        <v>317</v>
      </c>
      <c r="C322" s="22">
        <f>EDATE(Hipoteca!$C$7,B322-1)</f>
        <v>55944.0</v>
      </c>
      <c r="D322" s="23">
        <f>IFERROR(LOOKUP(2,1/((Hipoteca!$E$4:$E$9&lt;&gt;"")*(Hipoteca!$E$4:$E$9&lt;=C322)),Hipoteca!$F$4:$F$9),Hipoteca!$C$6)</f>
        <v>0.029</v>
      </c>
      <c r="E322" s="24">
        <f>J321</f>
        <v>1491.486389677944</v>
      </c>
      <c r="F322" s="24">
        <f>IF(E322&lt;=0.005,0,MIN(E322*(1+D322/12),IF(OR(Hipoteca!$C$8="Reducir cuota",D322&lt;&gt;D321),PMT(D322/12,K322,-E322),F321)))</f>
        <v>746.6003367545769</v>
      </c>
      <c r="G322" s="24">
        <f>E322*D322/12</f>
        <v>3.6044254417216983</v>
      </c>
      <c r="H322" s="24">
        <f>IF(E322&lt;=0.005,0,MIN(E322,F322-G322))</f>
        <v>742.9959113128552</v>
      </c>
      <c r="I322" s="24">
        <f>MIN(E322-H322,SUMPRODUCT((YEAR(Hipoteca!$H$4:$H$15)=YEAR(C322))*(MONTH(Hipoteca!$H$4:$H$15)=MONTH(C322))*(Hipoteca!$H$4:$H$15&lt;&gt;"")*Hipoteca!$I$4:$I$15))</f>
        <v>0</v>
      </c>
      <c r="J322" s="24">
        <f>MAX(0,E322-H322-I322)</f>
        <v>748.4904783650888</v>
      </c>
      <c r="K322" s="21">
        <f>IF(E322&lt;=0.005,0,IF(Hipoteca!$C$8="Reducir cuota",$K$6-(B322-1),IFERROR(MAX(1,ROUNDUP(NPER(D321/12,-F321,E322),0)),$K$6-(B322-1))))</f>
        <v>3</v>
      </c>
      <c r="L322" s="21">
        <f>YEAR(C322)</f>
        <v>2053</v>
      </c>
      <c r="N322" s="25">
        <f>R321</f>
        <v>31213.890186583605</v>
      </c>
      <c r="O322" s="25">
        <f>IF(N322&lt;=0.005,0,IF(D322&lt;&gt;D321,PMT(D322/12,Hipoteca!$C$5*12-(B322-1),-N322),O321))</f>
        <v>748.6477272887904</v>
      </c>
      <c r="P322" s="25">
        <f>N322*D322/12</f>
        <v>75.43356795091039</v>
      </c>
      <c r="Q322" s="25">
        <f>IF(N322&lt;=0.005,0,MIN(N322,O322-P322))</f>
        <v>673.21415933788</v>
      </c>
      <c r="R322" s="25">
        <f>MAX(0,N322-Q322)</f>
        <v>30540.676027245725</v>
      </c>
    </row>
    <row r="323" spans="2:18" ht="18" customHeight="1">
      <c r="B323" s="21">
        <f>ROW()-5</f>
        <v>318</v>
      </c>
      <c r="C323" s="22">
        <f>EDATE(Hipoteca!$C$7,B323-1)</f>
        <v>55975.0</v>
      </c>
      <c r="D323" s="23">
        <f>IFERROR(LOOKUP(2,1/((Hipoteca!$E$4:$E$9&lt;&gt;"")*(Hipoteca!$E$4:$E$9&lt;=C323)),Hipoteca!$F$4:$F$9),Hipoteca!$C$6)</f>
        <v>0.029</v>
      </c>
      <c r="E323" s="24">
        <f>J322</f>
        <v>748.4904783650888</v>
      </c>
      <c r="F323" s="24">
        <f>IF(E323&lt;=0.005,0,MIN(E323*(1+D323/12),IF(OR(Hipoteca!$C$8="Reducir cuota",D323&lt;&gt;D322),PMT(D323/12,K323,-E323),F322)))</f>
        <v>746.6003367545769</v>
      </c>
      <c r="G323" s="24">
        <f>E323*D323/12</f>
        <v>1.8088519893822983</v>
      </c>
      <c r="H323" s="24">
        <f>IF(E323&lt;=0.005,0,MIN(E323,F323-G323))</f>
        <v>744.7914847651946</v>
      </c>
      <c r="I323" s="24">
        <f>MIN(E323-H323,SUMPRODUCT((YEAR(Hipoteca!$H$4:$H$15)=YEAR(C323))*(MONTH(Hipoteca!$H$4:$H$15)=MONTH(C323))*(Hipoteca!$H$4:$H$15&lt;&gt;"")*Hipoteca!$I$4:$I$15))</f>
        <v>0</v>
      </c>
      <c r="J323" s="24">
        <f>MAX(0,E323-H323-I323)</f>
        <v>3.6989935998942656</v>
      </c>
      <c r="K323" s="21">
        <f>IF(E323&lt;=0.005,0,IF(Hipoteca!$C$8="Reducir cuota",$K$6-(B323-1),IFERROR(MAX(1,ROUNDUP(NPER(D322/12,-F322,E323),0)),$K$6-(B323-1))))</f>
        <v>2</v>
      </c>
      <c r="L323" s="21">
        <f>YEAR(C323)</f>
        <v>2053</v>
      </c>
      <c r="N323" s="25">
        <f>R322</f>
        <v>30540.676027245725</v>
      </c>
      <c r="O323" s="25">
        <f>IF(N323&lt;=0.005,0,IF(D323&lt;&gt;D322,PMT(D323/12,Hipoteca!$C$5*12-(B323-1),-N323),O322))</f>
        <v>748.6477272887904</v>
      </c>
      <c r="P323" s="25">
        <f>N323*D323/12</f>
        <v>73.8066337325105</v>
      </c>
      <c r="Q323" s="25">
        <f>IF(N323&lt;=0.005,0,MIN(N323,O323-P323))</f>
        <v>674.8410935562799</v>
      </c>
      <c r="R323" s="25">
        <f>MAX(0,N323-Q323)</f>
        <v>29865.834933689446</v>
      </c>
    </row>
    <row r="324" spans="2:18" ht="18" customHeight="1">
      <c r="B324" s="21">
        <f>ROW()-5</f>
        <v>319</v>
      </c>
      <c r="C324" s="22">
        <f>EDATE(Hipoteca!$C$7,B324-1)</f>
        <v>56005.0</v>
      </c>
      <c r="D324" s="23">
        <f>IFERROR(LOOKUP(2,1/((Hipoteca!$E$4:$E$9&lt;&gt;"")*(Hipoteca!$E$4:$E$9&lt;=C324)),Hipoteca!$F$4:$F$9),Hipoteca!$C$6)</f>
        <v>0.029</v>
      </c>
      <c r="E324" s="24">
        <f>J323</f>
        <v>3.6989935998942656</v>
      </c>
      <c r="F324" s="24">
        <f>IF(E324&lt;=0.005,0,MIN(E324*(1+D324/12),IF(OR(Hipoteca!$C$8="Reducir cuota",D324&lt;&gt;D323),PMT(D324/12,K324,-E324),F323)))</f>
        <v>3.7079328344273437</v>
      </c>
      <c r="G324" s="24">
        <f>E324*D324/12</f>
        <v>0.008939234533077808</v>
      </c>
      <c r="H324" s="24">
        <f>IF(E324&lt;=0.005,0,MIN(E324,F324-G324))</f>
        <v>3.6989935998942656</v>
      </c>
      <c r="I324" s="24">
        <f>MIN(E324-H324,SUMPRODUCT((YEAR(Hipoteca!$H$4:$H$15)=YEAR(C324))*(MONTH(Hipoteca!$H$4:$H$15)=MONTH(C324))*(Hipoteca!$H$4:$H$15&lt;&gt;"")*Hipoteca!$I$4:$I$15))</f>
        <v>0</v>
      </c>
      <c r="J324" s="24">
        <f>MAX(0,E324-H324-I324)</f>
        <v>0</v>
      </c>
      <c r="K324" s="21">
        <f>IF(E324&lt;=0.005,0,IF(Hipoteca!$C$8="Reducir cuota",$K$6-(B324-1),IFERROR(MAX(1,ROUNDUP(NPER(D323/12,-F323,E324),0)),$K$6-(B324-1))))</f>
        <v>1</v>
      </c>
      <c r="L324" s="21">
        <f>YEAR(C324)</f>
        <v>2053</v>
      </c>
      <c r="N324" s="25">
        <f>R323</f>
        <v>29865.834933689446</v>
      </c>
      <c r="O324" s="25">
        <f>IF(N324&lt;=0.005,0,IF(D324&lt;&gt;D323,PMT(D324/12,Hipoteca!$C$5*12-(B324-1),-N324),O323))</f>
        <v>748.6477272887904</v>
      </c>
      <c r="P324" s="25">
        <f>N324*D324/12</f>
        <v>72.17576775641616</v>
      </c>
      <c r="Q324" s="25">
        <f>IF(N324&lt;=0.005,0,MIN(N324,O324-P324))</f>
        <v>676.4719595323743</v>
      </c>
      <c r="R324" s="25">
        <f>MAX(0,N324-Q324)</f>
        <v>29189.362974157073</v>
      </c>
    </row>
    <row r="325" spans="2:18" ht="18" customHeight="1">
      <c r="B325" s="21">
        <f>ROW()-5</f>
        <v>320</v>
      </c>
      <c r="C325" s="22">
        <f>EDATE(Hipoteca!$C$7,B325-1)</f>
        <v>56036.0</v>
      </c>
      <c r="D325" s="23">
        <f>IFERROR(LOOKUP(2,1/((Hipoteca!$E$4:$E$9&lt;&gt;"")*(Hipoteca!$E$4:$E$9&lt;=C325)),Hipoteca!$F$4:$F$9),Hipoteca!$C$6)</f>
        <v>0.029</v>
      </c>
      <c r="E325" s="24">
        <f>J324</f>
        <v>0</v>
      </c>
      <c r="F325" s="24">
        <f>IF(E325&lt;=0.005,0,MIN(E325*(1+D325/12),IF(OR(Hipoteca!$C$8="Reducir cuota",D325&lt;&gt;D324),PMT(D325/12,K325,-E325),F324)))</f>
        <v>0</v>
      </c>
      <c r="G325" s="24">
        <f>E325*D325/12</f>
        <v>0</v>
      </c>
      <c r="H325" s="24">
        <f>IF(E325&lt;=0.005,0,MIN(E325,F325-G325))</f>
        <v>0</v>
      </c>
      <c r="I325" s="24">
        <f>MIN(E325-H325,SUMPRODUCT((YEAR(Hipoteca!$H$4:$H$15)=YEAR(C325))*(MONTH(Hipoteca!$H$4:$H$15)=MONTH(C325))*(Hipoteca!$H$4:$H$15&lt;&gt;"")*Hipoteca!$I$4:$I$15))</f>
        <v>0</v>
      </c>
      <c r="J325" s="24">
        <f>MAX(0,E325-H325-I325)</f>
        <v>0</v>
      </c>
      <c r="K325" s="21">
        <f>IF(E325&lt;=0.005,0,IF(Hipoteca!$C$8="Reducir cuota",$K$6-(B325-1),IFERROR(MAX(1,ROUNDUP(NPER(D324/12,-F324,E325),0)),$K$6-(B325-1))))</f>
        <v>0</v>
      </c>
      <c r="L325" s="21">
        <f>YEAR(C325)</f>
        <v>2053</v>
      </c>
      <c r="N325" s="25">
        <f>R324</f>
        <v>29189.362974157073</v>
      </c>
      <c r="O325" s="25">
        <f>IF(N325&lt;=0.005,0,IF(D325&lt;&gt;D324,PMT(D325/12,Hipoteca!$C$5*12-(B325-1),-N325),O324))</f>
        <v>748.6477272887904</v>
      </c>
      <c r="P325" s="25">
        <f>N325*D325/12</f>
        <v>70.5409605208796</v>
      </c>
      <c r="Q325" s="25">
        <f>IF(N325&lt;=0.005,0,MIN(N325,O325-P325))</f>
        <v>678.1067667679108</v>
      </c>
      <c r="R325" s="25">
        <f>MAX(0,N325-Q325)</f>
        <v>28511.25620738916</v>
      </c>
    </row>
    <row r="326" spans="2:18" ht="18" customHeight="1">
      <c r="B326" s="21">
        <f>ROW()-5</f>
        <v>321</v>
      </c>
      <c r="C326" s="22">
        <f>EDATE(Hipoteca!$C$7,B326-1)</f>
        <v>56066.0</v>
      </c>
      <c r="D326" s="23">
        <f>IFERROR(LOOKUP(2,1/((Hipoteca!$E$4:$E$9&lt;&gt;"")*(Hipoteca!$E$4:$E$9&lt;=C326)),Hipoteca!$F$4:$F$9),Hipoteca!$C$6)</f>
        <v>0.029</v>
      </c>
      <c r="E326" s="24">
        <f>J325</f>
        <v>0</v>
      </c>
      <c r="F326" s="24">
        <f>IF(E326&lt;=0.005,0,MIN(E326*(1+D326/12),IF(OR(Hipoteca!$C$8="Reducir cuota",D326&lt;&gt;D325),PMT(D326/12,K326,-E326),F325)))</f>
        <v>0</v>
      </c>
      <c r="G326" s="24">
        <f>E326*D326/12</f>
        <v>0</v>
      </c>
      <c r="H326" s="24">
        <f>IF(E326&lt;=0.005,0,MIN(E326,F326-G326))</f>
        <v>0</v>
      </c>
      <c r="I326" s="24">
        <f>MIN(E326-H326,SUMPRODUCT((YEAR(Hipoteca!$H$4:$H$15)=YEAR(C326))*(MONTH(Hipoteca!$H$4:$H$15)=MONTH(C326))*(Hipoteca!$H$4:$H$15&lt;&gt;"")*Hipoteca!$I$4:$I$15))</f>
        <v>0</v>
      </c>
      <c r="J326" s="24">
        <f>MAX(0,E326-H326-I326)</f>
        <v>0</v>
      </c>
      <c r="K326" s="21">
        <f>IF(E326&lt;=0.005,0,IF(Hipoteca!$C$8="Reducir cuota",$K$6-(B326-1),IFERROR(MAX(1,ROUNDUP(NPER(D325/12,-F325,E326),0)),$K$6-(B326-1))))</f>
        <v>0</v>
      </c>
      <c r="L326" s="21">
        <f>YEAR(C326)</f>
        <v>2053</v>
      </c>
      <c r="N326" s="25">
        <f>R325</f>
        <v>28511.25620738916</v>
      </c>
      <c r="O326" s="25">
        <f>IF(N326&lt;=0.005,0,IF(D326&lt;&gt;D325,PMT(D326/12,Hipoteca!$C$5*12-(B326-1),-N326),O325))</f>
        <v>748.6477272887904</v>
      </c>
      <c r="P326" s="25">
        <f>N326*D326/12</f>
        <v>68.90220250119047</v>
      </c>
      <c r="Q326" s="25">
        <f>IF(N326&lt;=0.005,0,MIN(N326,O326-P326))</f>
        <v>679.7455247876</v>
      </c>
      <c r="R326" s="25">
        <f>MAX(0,N326-Q326)</f>
        <v>27831.51068260156</v>
      </c>
    </row>
    <row r="327" spans="2:18" ht="18" customHeight="1">
      <c r="B327" s="21">
        <f>ROW()-5</f>
        <v>322</v>
      </c>
      <c r="C327" s="22">
        <f>EDATE(Hipoteca!$C$7,B327-1)</f>
        <v>56097.0</v>
      </c>
      <c r="D327" s="23">
        <f>IFERROR(LOOKUP(2,1/((Hipoteca!$E$4:$E$9&lt;&gt;"")*(Hipoteca!$E$4:$E$9&lt;=C327)),Hipoteca!$F$4:$F$9),Hipoteca!$C$6)</f>
        <v>0.029</v>
      </c>
      <c r="E327" s="24">
        <f>J326</f>
        <v>0</v>
      </c>
      <c r="F327" s="24">
        <f>IF(E327&lt;=0.005,0,MIN(E327*(1+D327/12),IF(OR(Hipoteca!$C$8="Reducir cuota",D327&lt;&gt;D326),PMT(D327/12,K327,-E327),F326)))</f>
        <v>0</v>
      </c>
      <c r="G327" s="24">
        <f>E327*D327/12</f>
        <v>0</v>
      </c>
      <c r="H327" s="24">
        <f>IF(E327&lt;=0.005,0,MIN(E327,F327-G327))</f>
        <v>0</v>
      </c>
      <c r="I327" s="24">
        <f>MIN(E327-H327,SUMPRODUCT((YEAR(Hipoteca!$H$4:$H$15)=YEAR(C327))*(MONTH(Hipoteca!$H$4:$H$15)=MONTH(C327))*(Hipoteca!$H$4:$H$15&lt;&gt;"")*Hipoteca!$I$4:$I$15))</f>
        <v>0</v>
      </c>
      <c r="J327" s="24">
        <f>MAX(0,E327-H327-I327)</f>
        <v>0</v>
      </c>
      <c r="K327" s="21">
        <f>IF(E327&lt;=0.005,0,IF(Hipoteca!$C$8="Reducir cuota",$K$6-(B327-1),IFERROR(MAX(1,ROUNDUP(NPER(D326/12,-F326,E327),0)),$K$6-(B327-1))))</f>
        <v>0</v>
      </c>
      <c r="L327" s="21">
        <f>YEAR(C327)</f>
        <v>2053</v>
      </c>
      <c r="N327" s="25">
        <f>R326</f>
        <v>27831.51068260156</v>
      </c>
      <c r="O327" s="25">
        <f>IF(N327&lt;=0.005,0,IF(D327&lt;&gt;D326,PMT(D327/12,Hipoteca!$C$5*12-(B327-1),-N327),O326))</f>
        <v>748.6477272887904</v>
      </c>
      <c r="P327" s="25">
        <f>N327*D327/12</f>
        <v>67.25948414962045</v>
      </c>
      <c r="Q327" s="25">
        <f>IF(N327&lt;=0.005,0,MIN(N327,O327-P327))</f>
        <v>681.38824313917</v>
      </c>
      <c r="R327" s="25">
        <f>MAX(0,N327-Q327)</f>
        <v>27150.122439462393</v>
      </c>
    </row>
    <row r="328" spans="2:18" ht="18" customHeight="1">
      <c r="B328" s="21">
        <f>ROW()-5</f>
        <v>323</v>
      </c>
      <c r="C328" s="22">
        <f>EDATE(Hipoteca!$C$7,B328-1)</f>
        <v>56128.0</v>
      </c>
      <c r="D328" s="23">
        <f>IFERROR(LOOKUP(2,1/((Hipoteca!$E$4:$E$9&lt;&gt;"")*(Hipoteca!$E$4:$E$9&lt;=C328)),Hipoteca!$F$4:$F$9),Hipoteca!$C$6)</f>
        <v>0.029</v>
      </c>
      <c r="E328" s="24">
        <f>J327</f>
        <v>0</v>
      </c>
      <c r="F328" s="24">
        <f>IF(E328&lt;=0.005,0,MIN(E328*(1+D328/12),IF(OR(Hipoteca!$C$8="Reducir cuota",D328&lt;&gt;D327),PMT(D328/12,K328,-E328),F327)))</f>
        <v>0</v>
      </c>
      <c r="G328" s="24">
        <f>E328*D328/12</f>
        <v>0</v>
      </c>
      <c r="H328" s="24">
        <f>IF(E328&lt;=0.005,0,MIN(E328,F328-G328))</f>
        <v>0</v>
      </c>
      <c r="I328" s="24">
        <f>MIN(E328-H328,SUMPRODUCT((YEAR(Hipoteca!$H$4:$H$15)=YEAR(C328))*(MONTH(Hipoteca!$H$4:$H$15)=MONTH(C328))*(Hipoteca!$H$4:$H$15&lt;&gt;"")*Hipoteca!$I$4:$I$15))</f>
        <v>0</v>
      </c>
      <c r="J328" s="24">
        <f>MAX(0,E328-H328-I328)</f>
        <v>0</v>
      </c>
      <c r="K328" s="21">
        <f>IF(E328&lt;=0.005,0,IF(Hipoteca!$C$8="Reducir cuota",$K$6-(B328-1),IFERROR(MAX(1,ROUNDUP(NPER(D327/12,-F327,E328),0)),$K$6-(B328-1))))</f>
        <v>0</v>
      </c>
      <c r="L328" s="21">
        <f>YEAR(C328)</f>
        <v>2053</v>
      </c>
      <c r="N328" s="25">
        <f>R327</f>
        <v>27150.122439462393</v>
      </c>
      <c r="O328" s="25">
        <f>IF(N328&lt;=0.005,0,IF(D328&lt;&gt;D327,PMT(D328/12,Hipoteca!$C$5*12-(B328-1),-N328),O327))</f>
        <v>748.6477272887904</v>
      </c>
      <c r="P328" s="25">
        <f>N328*D328/12</f>
        <v>65.61279589536746</v>
      </c>
      <c r="Q328" s="25">
        <f>IF(N328&lt;=0.005,0,MIN(N328,O328-P328))</f>
        <v>683.034931393423</v>
      </c>
      <c r="R328" s="25">
        <f>MAX(0,N328-Q328)</f>
        <v>26467.08750806897</v>
      </c>
    </row>
    <row r="329" spans="2:18" ht="18" customHeight="1">
      <c r="B329" s="21">
        <f>ROW()-5</f>
        <v>324</v>
      </c>
      <c r="C329" s="22">
        <f>EDATE(Hipoteca!$C$7,B329-1)</f>
        <v>56158.0</v>
      </c>
      <c r="D329" s="23">
        <f>IFERROR(LOOKUP(2,1/((Hipoteca!$E$4:$E$9&lt;&gt;"")*(Hipoteca!$E$4:$E$9&lt;=C329)),Hipoteca!$F$4:$F$9),Hipoteca!$C$6)</f>
        <v>0.029</v>
      </c>
      <c r="E329" s="24">
        <f>J328</f>
        <v>0</v>
      </c>
      <c r="F329" s="24">
        <f>IF(E329&lt;=0.005,0,MIN(E329*(1+D329/12),IF(OR(Hipoteca!$C$8="Reducir cuota",D329&lt;&gt;D328),PMT(D329/12,K329,-E329),F328)))</f>
        <v>0</v>
      </c>
      <c r="G329" s="24">
        <f>E329*D329/12</f>
        <v>0</v>
      </c>
      <c r="H329" s="24">
        <f>IF(E329&lt;=0.005,0,MIN(E329,F329-G329))</f>
        <v>0</v>
      </c>
      <c r="I329" s="24">
        <f>MIN(E329-H329,SUMPRODUCT((YEAR(Hipoteca!$H$4:$H$15)=YEAR(C329))*(MONTH(Hipoteca!$H$4:$H$15)=MONTH(C329))*(Hipoteca!$H$4:$H$15&lt;&gt;"")*Hipoteca!$I$4:$I$15))</f>
        <v>0</v>
      </c>
      <c r="J329" s="24">
        <f>MAX(0,E329-H329-I329)</f>
        <v>0</v>
      </c>
      <c r="K329" s="21">
        <f>IF(E329&lt;=0.005,0,IF(Hipoteca!$C$8="Reducir cuota",$K$6-(B329-1),IFERROR(MAX(1,ROUNDUP(NPER(D328/12,-F328,E329),0)),$K$6-(B329-1))))</f>
        <v>0</v>
      </c>
      <c r="L329" s="21">
        <f>YEAR(C329)</f>
        <v>2053</v>
      </c>
      <c r="N329" s="25">
        <f>R328</f>
        <v>26467.08750806897</v>
      </c>
      <c r="O329" s="25">
        <f>IF(N329&lt;=0.005,0,IF(D329&lt;&gt;D328,PMT(D329/12,Hipoteca!$C$5*12-(B329-1),-N329),O328))</f>
        <v>748.6477272887904</v>
      </c>
      <c r="P329" s="25">
        <f>N329*D329/12</f>
        <v>63.962128144500014</v>
      </c>
      <c r="Q329" s="25">
        <f>IF(N329&lt;=0.005,0,MIN(N329,O329-P329))</f>
        <v>684.6855991442903</v>
      </c>
      <c r="R329" s="25">
        <f>MAX(0,N329-Q329)</f>
        <v>25782.40190892468</v>
      </c>
    </row>
    <row r="330" spans="2:18" ht="18" customHeight="1">
      <c r="B330" s="21">
        <f>ROW()-5</f>
        <v>325</v>
      </c>
      <c r="C330" s="22">
        <f>EDATE(Hipoteca!$C$7,B330-1)</f>
        <v>56189.0</v>
      </c>
      <c r="D330" s="23">
        <f>IFERROR(LOOKUP(2,1/((Hipoteca!$E$4:$E$9&lt;&gt;"")*(Hipoteca!$E$4:$E$9&lt;=C330)),Hipoteca!$F$4:$F$9),Hipoteca!$C$6)</f>
        <v>0.029</v>
      </c>
      <c r="E330" s="24">
        <f>J329</f>
        <v>0</v>
      </c>
      <c r="F330" s="24">
        <f>IF(E330&lt;=0.005,0,MIN(E330*(1+D330/12),IF(OR(Hipoteca!$C$8="Reducir cuota",D330&lt;&gt;D329),PMT(D330/12,K330,-E330),F329)))</f>
        <v>0</v>
      </c>
      <c r="G330" s="24">
        <f>E330*D330/12</f>
        <v>0</v>
      </c>
      <c r="H330" s="24">
        <f>IF(E330&lt;=0.005,0,MIN(E330,F330-G330))</f>
        <v>0</v>
      </c>
      <c r="I330" s="24">
        <f>MIN(E330-H330,SUMPRODUCT((YEAR(Hipoteca!$H$4:$H$15)=YEAR(C330))*(MONTH(Hipoteca!$H$4:$H$15)=MONTH(C330))*(Hipoteca!$H$4:$H$15&lt;&gt;"")*Hipoteca!$I$4:$I$15))</f>
        <v>0</v>
      </c>
      <c r="J330" s="24">
        <f>MAX(0,E330-H330-I330)</f>
        <v>0</v>
      </c>
      <c r="K330" s="21">
        <f>IF(E330&lt;=0.005,0,IF(Hipoteca!$C$8="Reducir cuota",$K$6-(B330-1),IFERROR(MAX(1,ROUNDUP(NPER(D329/12,-F329,E330),0)),$K$6-(B330-1))))</f>
        <v>0</v>
      </c>
      <c r="L330" s="21">
        <f>YEAR(C330)</f>
        <v>2053</v>
      </c>
      <c r="N330" s="25">
        <f>R329</f>
        <v>25782.40190892468</v>
      </c>
      <c r="O330" s="25">
        <f>IF(N330&lt;=0.005,0,IF(D330&lt;&gt;D329,PMT(D330/12,Hipoteca!$C$5*12-(B330-1),-N330),O329))</f>
        <v>748.6477272887904</v>
      </c>
      <c r="P330" s="25">
        <f>N330*D330/12</f>
        <v>62.307471279901314</v>
      </c>
      <c r="Q330" s="25">
        <f>IF(N330&lt;=0.005,0,MIN(N330,O330-P330))</f>
        <v>686.3402560088891</v>
      </c>
      <c r="R330" s="25">
        <f>MAX(0,N330-Q330)</f>
        <v>25096.06165291579</v>
      </c>
    </row>
    <row r="331" spans="2:18" ht="18" customHeight="1">
      <c r="B331" s="21">
        <f>ROW()-5</f>
        <v>326</v>
      </c>
      <c r="C331" s="22">
        <f>EDATE(Hipoteca!$C$7,B331-1)</f>
        <v>56219.0</v>
      </c>
      <c r="D331" s="23">
        <f>IFERROR(LOOKUP(2,1/((Hipoteca!$E$4:$E$9&lt;&gt;"")*(Hipoteca!$E$4:$E$9&lt;=C331)),Hipoteca!$F$4:$F$9),Hipoteca!$C$6)</f>
        <v>0.029</v>
      </c>
      <c r="E331" s="24">
        <f>J330</f>
        <v>0</v>
      </c>
      <c r="F331" s="24">
        <f>IF(E331&lt;=0.005,0,MIN(E331*(1+D331/12),IF(OR(Hipoteca!$C$8="Reducir cuota",D331&lt;&gt;D330),PMT(D331/12,K331,-E331),F330)))</f>
        <v>0</v>
      </c>
      <c r="G331" s="24">
        <f>E331*D331/12</f>
        <v>0</v>
      </c>
      <c r="H331" s="24">
        <f>IF(E331&lt;=0.005,0,MIN(E331,F331-G331))</f>
        <v>0</v>
      </c>
      <c r="I331" s="24">
        <f>MIN(E331-H331,SUMPRODUCT((YEAR(Hipoteca!$H$4:$H$15)=YEAR(C331))*(MONTH(Hipoteca!$H$4:$H$15)=MONTH(C331))*(Hipoteca!$H$4:$H$15&lt;&gt;"")*Hipoteca!$I$4:$I$15))</f>
        <v>0</v>
      </c>
      <c r="J331" s="24">
        <f>MAX(0,E331-H331-I331)</f>
        <v>0</v>
      </c>
      <c r="K331" s="21">
        <f>IF(E331&lt;=0.005,0,IF(Hipoteca!$C$8="Reducir cuota",$K$6-(B331-1),IFERROR(MAX(1,ROUNDUP(NPER(D330/12,-F330,E331),0)),$K$6-(B331-1))))</f>
        <v>0</v>
      </c>
      <c r="L331" s="21">
        <f>YEAR(C331)</f>
        <v>2053</v>
      </c>
      <c r="N331" s="25">
        <f>R330</f>
        <v>25096.06165291579</v>
      </c>
      <c r="O331" s="25">
        <f>IF(N331&lt;=0.005,0,IF(D331&lt;&gt;D330,PMT(D331/12,Hipoteca!$C$5*12-(B331-1),-N331),O330))</f>
        <v>748.6477272887904</v>
      </c>
      <c r="P331" s="25">
        <f>N331*D331/12</f>
        <v>60.648815661213156</v>
      </c>
      <c r="Q331" s="25">
        <f>IF(N331&lt;=0.005,0,MIN(N331,O331-P331))</f>
        <v>687.9989116275773</v>
      </c>
      <c r="R331" s="25">
        <f>MAX(0,N331-Q331)</f>
        <v>24408.062741288213</v>
      </c>
    </row>
    <row r="332" spans="2:18" ht="18" customHeight="1">
      <c r="B332" s="21">
        <f>ROW()-5</f>
        <v>327</v>
      </c>
      <c r="C332" s="22">
        <f>EDATE(Hipoteca!$C$7,B332-1)</f>
        <v>56250.0</v>
      </c>
      <c r="D332" s="23">
        <f>IFERROR(LOOKUP(2,1/((Hipoteca!$E$4:$E$9&lt;&gt;"")*(Hipoteca!$E$4:$E$9&lt;=C332)),Hipoteca!$F$4:$F$9),Hipoteca!$C$6)</f>
        <v>0.029</v>
      </c>
      <c r="E332" s="24">
        <f>J331</f>
        <v>0</v>
      </c>
      <c r="F332" s="24">
        <f>IF(E332&lt;=0.005,0,MIN(E332*(1+D332/12),IF(OR(Hipoteca!$C$8="Reducir cuota",D332&lt;&gt;D331),PMT(D332/12,K332,-E332),F331)))</f>
        <v>0</v>
      </c>
      <c r="G332" s="24">
        <f>E332*D332/12</f>
        <v>0</v>
      </c>
      <c r="H332" s="24">
        <f>IF(E332&lt;=0.005,0,MIN(E332,F332-G332))</f>
        <v>0</v>
      </c>
      <c r="I332" s="24">
        <f>MIN(E332-H332,SUMPRODUCT((YEAR(Hipoteca!$H$4:$H$15)=YEAR(C332))*(MONTH(Hipoteca!$H$4:$H$15)=MONTH(C332))*(Hipoteca!$H$4:$H$15&lt;&gt;"")*Hipoteca!$I$4:$I$15))</f>
        <v>0</v>
      </c>
      <c r="J332" s="24">
        <f>MAX(0,E332-H332-I332)</f>
        <v>0</v>
      </c>
      <c r="K332" s="21">
        <f>IF(E332&lt;=0.005,0,IF(Hipoteca!$C$8="Reducir cuota",$K$6-(B332-1),IFERROR(MAX(1,ROUNDUP(NPER(D331/12,-F331,E332),0)),$K$6-(B332-1))))</f>
        <v>0</v>
      </c>
      <c r="L332" s="21">
        <f>YEAR(C332)</f>
        <v>2054</v>
      </c>
      <c r="N332" s="25">
        <f>R331</f>
        <v>24408.062741288213</v>
      </c>
      <c r="O332" s="25">
        <f>IF(N332&lt;=0.005,0,IF(D332&lt;&gt;D331,PMT(D332/12,Hipoteca!$C$5*12-(B332-1),-N332),O331))</f>
        <v>748.6477272887904</v>
      </c>
      <c r="P332" s="25">
        <f>N332*D332/12</f>
        <v>58.98615162477986</v>
      </c>
      <c r="Q332" s="25">
        <f>IF(N332&lt;=0.005,0,MIN(N332,O332-P332))</f>
        <v>689.6615756640106</v>
      </c>
      <c r="R332" s="25">
        <f>MAX(0,N332-Q332)</f>
        <v>23718.401165624204</v>
      </c>
    </row>
    <row r="333" spans="2:18" ht="18" customHeight="1">
      <c r="B333" s="21">
        <f>ROW()-5</f>
        <v>328</v>
      </c>
      <c r="C333" s="22">
        <f>EDATE(Hipoteca!$C$7,B333-1)</f>
        <v>56281.0</v>
      </c>
      <c r="D333" s="23">
        <f>IFERROR(LOOKUP(2,1/((Hipoteca!$E$4:$E$9&lt;&gt;"")*(Hipoteca!$E$4:$E$9&lt;=C333)),Hipoteca!$F$4:$F$9),Hipoteca!$C$6)</f>
        <v>0.029</v>
      </c>
      <c r="E333" s="24">
        <f>J332</f>
        <v>0</v>
      </c>
      <c r="F333" s="24">
        <f>IF(E333&lt;=0.005,0,MIN(E333*(1+D333/12),IF(OR(Hipoteca!$C$8="Reducir cuota",D333&lt;&gt;D332),PMT(D333/12,K333,-E333),F332)))</f>
        <v>0</v>
      </c>
      <c r="G333" s="24">
        <f>E333*D333/12</f>
        <v>0</v>
      </c>
      <c r="H333" s="24">
        <f>IF(E333&lt;=0.005,0,MIN(E333,F333-G333))</f>
        <v>0</v>
      </c>
      <c r="I333" s="24">
        <f>MIN(E333-H333,SUMPRODUCT((YEAR(Hipoteca!$H$4:$H$15)=YEAR(C333))*(MONTH(Hipoteca!$H$4:$H$15)=MONTH(C333))*(Hipoteca!$H$4:$H$15&lt;&gt;"")*Hipoteca!$I$4:$I$15))</f>
        <v>0</v>
      </c>
      <c r="J333" s="24">
        <f>MAX(0,E333-H333-I333)</f>
        <v>0</v>
      </c>
      <c r="K333" s="21">
        <f>IF(E333&lt;=0.005,0,IF(Hipoteca!$C$8="Reducir cuota",$K$6-(B333-1),IFERROR(MAX(1,ROUNDUP(NPER(D332/12,-F332,E333),0)),$K$6-(B333-1))))</f>
        <v>0</v>
      </c>
      <c r="L333" s="21">
        <f>YEAR(C333)</f>
        <v>2054</v>
      </c>
      <c r="N333" s="25">
        <f>R332</f>
        <v>23718.401165624204</v>
      </c>
      <c r="O333" s="25">
        <f>IF(N333&lt;=0.005,0,IF(D333&lt;&gt;D332,PMT(D333/12,Hipoteca!$C$5*12-(B333-1),-N333),O332))</f>
        <v>748.6477272887904</v>
      </c>
      <c r="P333" s="25">
        <f>N333*D333/12</f>
        <v>57.31946948359183</v>
      </c>
      <c r="Q333" s="25">
        <f>IF(N333&lt;=0.005,0,MIN(N333,O333-P333))</f>
        <v>691.3282578051985</v>
      </c>
      <c r="R333" s="25">
        <f>MAX(0,N333-Q333)</f>
        <v>23027.072907819005</v>
      </c>
    </row>
    <row r="334" spans="2:18" ht="18" customHeight="1">
      <c r="B334" s="21">
        <f>ROW()-5</f>
        <v>329</v>
      </c>
      <c r="C334" s="22">
        <f>EDATE(Hipoteca!$C$7,B334-1)</f>
        <v>56309.0</v>
      </c>
      <c r="D334" s="23">
        <f>IFERROR(LOOKUP(2,1/((Hipoteca!$E$4:$E$9&lt;&gt;"")*(Hipoteca!$E$4:$E$9&lt;=C334)),Hipoteca!$F$4:$F$9),Hipoteca!$C$6)</f>
        <v>0.029</v>
      </c>
      <c r="E334" s="24">
        <f>J333</f>
        <v>0</v>
      </c>
      <c r="F334" s="24">
        <f>IF(E334&lt;=0.005,0,MIN(E334*(1+D334/12),IF(OR(Hipoteca!$C$8="Reducir cuota",D334&lt;&gt;D333),PMT(D334/12,K334,-E334),F333)))</f>
        <v>0</v>
      </c>
      <c r="G334" s="24">
        <f>E334*D334/12</f>
        <v>0</v>
      </c>
      <c r="H334" s="24">
        <f>IF(E334&lt;=0.005,0,MIN(E334,F334-G334))</f>
        <v>0</v>
      </c>
      <c r="I334" s="24">
        <f>MIN(E334-H334,SUMPRODUCT((YEAR(Hipoteca!$H$4:$H$15)=YEAR(C334))*(MONTH(Hipoteca!$H$4:$H$15)=MONTH(C334))*(Hipoteca!$H$4:$H$15&lt;&gt;"")*Hipoteca!$I$4:$I$15))</f>
        <v>0</v>
      </c>
      <c r="J334" s="24">
        <f>MAX(0,E334-H334-I334)</f>
        <v>0</v>
      </c>
      <c r="K334" s="21">
        <f>IF(E334&lt;=0.005,0,IF(Hipoteca!$C$8="Reducir cuota",$K$6-(B334-1),IFERROR(MAX(1,ROUNDUP(NPER(D333/12,-F333,E334),0)),$K$6-(B334-1))))</f>
        <v>0</v>
      </c>
      <c r="L334" s="21">
        <f>YEAR(C334)</f>
        <v>2054</v>
      </c>
      <c r="N334" s="25">
        <f>R333</f>
        <v>23027.072907819005</v>
      </c>
      <c r="O334" s="25">
        <f>IF(N334&lt;=0.005,0,IF(D334&lt;&gt;D333,PMT(D334/12,Hipoteca!$C$5*12-(B334-1),-N334),O333))</f>
        <v>748.6477272887904</v>
      </c>
      <c r="P334" s="25">
        <f>N334*D334/12</f>
        <v>55.64875952722927</v>
      </c>
      <c r="Q334" s="25">
        <f>IF(N334&lt;=0.005,0,MIN(N334,O334-P334))</f>
        <v>692.9989677615612</v>
      </c>
      <c r="R334" s="25">
        <f>MAX(0,N334-Q334)</f>
        <v>22334.073940057446</v>
      </c>
    </row>
    <row r="335" spans="2:18" ht="18" customHeight="1">
      <c r="B335" s="21">
        <f>ROW()-5</f>
        <v>330</v>
      </c>
      <c r="C335" s="22">
        <f>EDATE(Hipoteca!$C$7,B335-1)</f>
        <v>56340.0</v>
      </c>
      <c r="D335" s="23">
        <f>IFERROR(LOOKUP(2,1/((Hipoteca!$E$4:$E$9&lt;&gt;"")*(Hipoteca!$E$4:$E$9&lt;=C335)),Hipoteca!$F$4:$F$9),Hipoteca!$C$6)</f>
        <v>0.029</v>
      </c>
      <c r="E335" s="24">
        <f>J334</f>
        <v>0</v>
      </c>
      <c r="F335" s="24">
        <f>IF(E335&lt;=0.005,0,MIN(E335*(1+D335/12),IF(OR(Hipoteca!$C$8="Reducir cuota",D335&lt;&gt;D334),PMT(D335/12,K335,-E335),F334)))</f>
        <v>0</v>
      </c>
      <c r="G335" s="24">
        <f>E335*D335/12</f>
        <v>0</v>
      </c>
      <c r="H335" s="24">
        <f>IF(E335&lt;=0.005,0,MIN(E335,F335-G335))</f>
        <v>0</v>
      </c>
      <c r="I335" s="24">
        <f>MIN(E335-H335,SUMPRODUCT((YEAR(Hipoteca!$H$4:$H$15)=YEAR(C335))*(MONTH(Hipoteca!$H$4:$H$15)=MONTH(C335))*(Hipoteca!$H$4:$H$15&lt;&gt;"")*Hipoteca!$I$4:$I$15))</f>
        <v>0</v>
      </c>
      <c r="J335" s="24">
        <f>MAX(0,E335-H335-I335)</f>
        <v>0</v>
      </c>
      <c r="K335" s="21">
        <f>IF(E335&lt;=0.005,0,IF(Hipoteca!$C$8="Reducir cuota",$K$6-(B335-1),IFERROR(MAX(1,ROUNDUP(NPER(D334/12,-F334,E335),0)),$K$6-(B335-1))))</f>
        <v>0</v>
      </c>
      <c r="L335" s="21">
        <f>YEAR(C335)</f>
        <v>2054</v>
      </c>
      <c r="N335" s="25">
        <f>R334</f>
        <v>22334.073940057446</v>
      </c>
      <c r="O335" s="25">
        <f>IF(N335&lt;=0.005,0,IF(D335&lt;&gt;D334,PMT(D335/12,Hipoteca!$C$5*12-(B335-1),-N335),O334))</f>
        <v>748.6477272887904</v>
      </c>
      <c r="P335" s="25">
        <f>N335*D335/12</f>
        <v>53.97401202180549</v>
      </c>
      <c r="Q335" s="25">
        <f>IF(N335&lt;=0.005,0,MIN(N335,O335-P335))</f>
        <v>694.6737152669849</v>
      </c>
      <c r="R335" s="25">
        <f>MAX(0,N335-Q335)</f>
        <v>21639.40022479046</v>
      </c>
    </row>
    <row r="336" spans="2:18" ht="18" customHeight="1">
      <c r="B336" s="21">
        <f>ROW()-5</f>
        <v>331</v>
      </c>
      <c r="C336" s="22">
        <f>EDATE(Hipoteca!$C$7,B336-1)</f>
        <v>56370.0</v>
      </c>
      <c r="D336" s="23">
        <f>IFERROR(LOOKUP(2,1/((Hipoteca!$E$4:$E$9&lt;&gt;"")*(Hipoteca!$E$4:$E$9&lt;=C336)),Hipoteca!$F$4:$F$9),Hipoteca!$C$6)</f>
        <v>0.029</v>
      </c>
      <c r="E336" s="24">
        <f>J335</f>
        <v>0</v>
      </c>
      <c r="F336" s="24">
        <f>IF(E336&lt;=0.005,0,MIN(E336*(1+D336/12),IF(OR(Hipoteca!$C$8="Reducir cuota",D336&lt;&gt;D335),PMT(D336/12,K336,-E336),F335)))</f>
        <v>0</v>
      </c>
      <c r="G336" s="24">
        <f>E336*D336/12</f>
        <v>0</v>
      </c>
      <c r="H336" s="24">
        <f>IF(E336&lt;=0.005,0,MIN(E336,F336-G336))</f>
        <v>0</v>
      </c>
      <c r="I336" s="24">
        <f>MIN(E336-H336,SUMPRODUCT((YEAR(Hipoteca!$H$4:$H$15)=YEAR(C336))*(MONTH(Hipoteca!$H$4:$H$15)=MONTH(C336))*(Hipoteca!$H$4:$H$15&lt;&gt;"")*Hipoteca!$I$4:$I$15))</f>
        <v>0</v>
      </c>
      <c r="J336" s="24">
        <f>MAX(0,E336-H336-I336)</f>
        <v>0</v>
      </c>
      <c r="K336" s="21">
        <f>IF(E336&lt;=0.005,0,IF(Hipoteca!$C$8="Reducir cuota",$K$6-(B336-1),IFERROR(MAX(1,ROUNDUP(NPER(D335/12,-F335,E336),0)),$K$6-(B336-1))))</f>
        <v>0</v>
      </c>
      <c r="L336" s="21">
        <f>YEAR(C336)</f>
        <v>2054</v>
      </c>
      <c r="N336" s="25">
        <f>R335</f>
        <v>21639.40022479046</v>
      </c>
      <c r="O336" s="25">
        <f>IF(N336&lt;=0.005,0,IF(D336&lt;&gt;D335,PMT(D336/12,Hipoteca!$C$5*12-(B336-1),-N336),O335))</f>
        <v>748.6477272887904</v>
      </c>
      <c r="P336" s="25">
        <f>N336*D336/12</f>
        <v>52.295217209910284</v>
      </c>
      <c r="Q336" s="25">
        <f>IF(N336&lt;=0.005,0,MIN(N336,O336-P336))</f>
        <v>696.3525100788801</v>
      </c>
      <c r="R336" s="25">
        <f>MAX(0,N336-Q336)</f>
        <v>20943.04771471158</v>
      </c>
    </row>
    <row r="337" spans="2:18" ht="18" customHeight="1">
      <c r="B337" s="21">
        <f>ROW()-5</f>
        <v>332</v>
      </c>
      <c r="C337" s="22">
        <f>EDATE(Hipoteca!$C$7,B337-1)</f>
        <v>56401.0</v>
      </c>
      <c r="D337" s="23">
        <f>IFERROR(LOOKUP(2,1/((Hipoteca!$E$4:$E$9&lt;&gt;"")*(Hipoteca!$E$4:$E$9&lt;=C337)),Hipoteca!$F$4:$F$9),Hipoteca!$C$6)</f>
        <v>0.029</v>
      </c>
      <c r="E337" s="24">
        <f>J336</f>
        <v>0</v>
      </c>
      <c r="F337" s="24">
        <f>IF(E337&lt;=0.005,0,MIN(E337*(1+D337/12),IF(OR(Hipoteca!$C$8="Reducir cuota",D337&lt;&gt;D336),PMT(D337/12,K337,-E337),F336)))</f>
        <v>0</v>
      </c>
      <c r="G337" s="24">
        <f>E337*D337/12</f>
        <v>0</v>
      </c>
      <c r="H337" s="24">
        <f>IF(E337&lt;=0.005,0,MIN(E337,F337-G337))</f>
        <v>0</v>
      </c>
      <c r="I337" s="24">
        <f>MIN(E337-H337,SUMPRODUCT((YEAR(Hipoteca!$H$4:$H$15)=YEAR(C337))*(MONTH(Hipoteca!$H$4:$H$15)=MONTH(C337))*(Hipoteca!$H$4:$H$15&lt;&gt;"")*Hipoteca!$I$4:$I$15))</f>
        <v>0</v>
      </c>
      <c r="J337" s="24">
        <f>MAX(0,E337-H337-I337)</f>
        <v>0</v>
      </c>
      <c r="K337" s="21">
        <f>IF(E337&lt;=0.005,0,IF(Hipoteca!$C$8="Reducir cuota",$K$6-(B337-1),IFERROR(MAX(1,ROUNDUP(NPER(D336/12,-F336,E337),0)),$K$6-(B337-1))))</f>
        <v>0</v>
      </c>
      <c r="L337" s="21">
        <f>YEAR(C337)</f>
        <v>2054</v>
      </c>
      <c r="N337" s="25">
        <f>R336</f>
        <v>20943.04771471158</v>
      </c>
      <c r="O337" s="25">
        <f>IF(N337&lt;=0.005,0,IF(D337&lt;&gt;D336,PMT(D337/12,Hipoteca!$C$5*12-(B337-1),-N337),O336))</f>
        <v>748.6477272887904</v>
      </c>
      <c r="P337" s="25">
        <f>N337*D337/12</f>
        <v>50.612365310552995</v>
      </c>
      <c r="Q337" s="25">
        <f>IF(N337&lt;=0.005,0,MIN(N337,O337-P337))</f>
        <v>698.0353619782375</v>
      </c>
      <c r="R337" s="25">
        <f>MAX(0,N337-Q337)</f>
        <v>20245.012352733345</v>
      </c>
    </row>
    <row r="338" spans="2:18" ht="18" customHeight="1">
      <c r="B338" s="21">
        <f>ROW()-5</f>
        <v>333</v>
      </c>
      <c r="C338" s="22">
        <f>EDATE(Hipoteca!$C$7,B338-1)</f>
        <v>56431.0</v>
      </c>
      <c r="D338" s="23">
        <f>IFERROR(LOOKUP(2,1/((Hipoteca!$E$4:$E$9&lt;&gt;"")*(Hipoteca!$E$4:$E$9&lt;=C338)),Hipoteca!$F$4:$F$9),Hipoteca!$C$6)</f>
        <v>0.029</v>
      </c>
      <c r="E338" s="24">
        <f>J337</f>
        <v>0</v>
      </c>
      <c r="F338" s="24">
        <f>IF(E338&lt;=0.005,0,MIN(E338*(1+D338/12),IF(OR(Hipoteca!$C$8="Reducir cuota",D338&lt;&gt;D337),PMT(D338/12,K338,-E338),F337)))</f>
        <v>0</v>
      </c>
      <c r="G338" s="24">
        <f>E338*D338/12</f>
        <v>0</v>
      </c>
      <c r="H338" s="24">
        <f>IF(E338&lt;=0.005,0,MIN(E338,F338-G338))</f>
        <v>0</v>
      </c>
      <c r="I338" s="24">
        <f>MIN(E338-H338,SUMPRODUCT((YEAR(Hipoteca!$H$4:$H$15)=YEAR(C338))*(MONTH(Hipoteca!$H$4:$H$15)=MONTH(C338))*(Hipoteca!$H$4:$H$15&lt;&gt;"")*Hipoteca!$I$4:$I$15))</f>
        <v>0</v>
      </c>
      <c r="J338" s="24">
        <f>MAX(0,E338-H338-I338)</f>
        <v>0</v>
      </c>
      <c r="K338" s="21">
        <f>IF(E338&lt;=0.005,0,IF(Hipoteca!$C$8="Reducir cuota",$K$6-(B338-1),IFERROR(MAX(1,ROUNDUP(NPER(D337/12,-F337,E338),0)),$K$6-(B338-1))))</f>
        <v>0</v>
      </c>
      <c r="L338" s="21">
        <f>YEAR(C338)</f>
        <v>2054</v>
      </c>
      <c r="N338" s="25">
        <f>R337</f>
        <v>20245.012352733345</v>
      </c>
      <c r="O338" s="25">
        <f>IF(N338&lt;=0.005,0,IF(D338&lt;&gt;D337,PMT(D338/12,Hipoteca!$C$5*12-(B338-1),-N338),O337))</f>
        <v>748.6477272887904</v>
      </c>
      <c r="P338" s="25">
        <f>N338*D338/12</f>
        <v>48.925446519105584</v>
      </c>
      <c r="Q338" s="25">
        <f>IF(N338&lt;=0.005,0,MIN(N338,O338-P338))</f>
        <v>699.7222807696849</v>
      </c>
      <c r="R338" s="25">
        <f>MAX(0,N338-Q338)</f>
        <v>19545.29007196366</v>
      </c>
    </row>
    <row r="339" spans="2:18" ht="18" customHeight="1">
      <c r="B339" s="21">
        <f>ROW()-5</f>
        <v>334</v>
      </c>
      <c r="C339" s="22">
        <f>EDATE(Hipoteca!$C$7,B339-1)</f>
        <v>56462.0</v>
      </c>
      <c r="D339" s="23">
        <f>IFERROR(LOOKUP(2,1/((Hipoteca!$E$4:$E$9&lt;&gt;"")*(Hipoteca!$E$4:$E$9&lt;=C339)),Hipoteca!$F$4:$F$9),Hipoteca!$C$6)</f>
        <v>0.029</v>
      </c>
      <c r="E339" s="24">
        <f>J338</f>
        <v>0</v>
      </c>
      <c r="F339" s="24">
        <f>IF(E339&lt;=0.005,0,MIN(E339*(1+D339/12),IF(OR(Hipoteca!$C$8="Reducir cuota",D339&lt;&gt;D338),PMT(D339/12,K339,-E339),F338)))</f>
        <v>0</v>
      </c>
      <c r="G339" s="24">
        <f>E339*D339/12</f>
        <v>0</v>
      </c>
      <c r="H339" s="24">
        <f>IF(E339&lt;=0.005,0,MIN(E339,F339-G339))</f>
        <v>0</v>
      </c>
      <c r="I339" s="24">
        <f>MIN(E339-H339,SUMPRODUCT((YEAR(Hipoteca!$H$4:$H$15)=YEAR(C339))*(MONTH(Hipoteca!$H$4:$H$15)=MONTH(C339))*(Hipoteca!$H$4:$H$15&lt;&gt;"")*Hipoteca!$I$4:$I$15))</f>
        <v>0</v>
      </c>
      <c r="J339" s="24">
        <f>MAX(0,E339-H339-I339)</f>
        <v>0</v>
      </c>
      <c r="K339" s="21">
        <f>IF(E339&lt;=0.005,0,IF(Hipoteca!$C$8="Reducir cuota",$K$6-(B339-1),IFERROR(MAX(1,ROUNDUP(NPER(D338/12,-F338,E339),0)),$K$6-(B339-1))))</f>
        <v>0</v>
      </c>
      <c r="L339" s="21">
        <f>YEAR(C339)</f>
        <v>2054</v>
      </c>
      <c r="N339" s="25">
        <f>R338</f>
        <v>19545.29007196366</v>
      </c>
      <c r="O339" s="25">
        <f>IF(N339&lt;=0.005,0,IF(D339&lt;&gt;D338,PMT(D339/12,Hipoteca!$C$5*12-(B339-1),-N339),O338))</f>
        <v>748.6477272887904</v>
      </c>
      <c r="P339" s="25">
        <f>N339*D339/12</f>
        <v>47.23445100724552</v>
      </c>
      <c r="Q339" s="25">
        <f>IF(N339&lt;=0.005,0,MIN(N339,O339-P339))</f>
        <v>701.4132762815449</v>
      </c>
      <c r="R339" s="25">
        <f>MAX(0,N339-Q339)</f>
        <v>18843.876795682114</v>
      </c>
    </row>
    <row r="340" spans="2:18" ht="18" customHeight="1">
      <c r="B340" s="21">
        <f>ROW()-5</f>
        <v>335</v>
      </c>
      <c r="C340" s="22">
        <f>EDATE(Hipoteca!$C$7,B340-1)</f>
        <v>56493.0</v>
      </c>
      <c r="D340" s="23">
        <f>IFERROR(LOOKUP(2,1/((Hipoteca!$E$4:$E$9&lt;&gt;"")*(Hipoteca!$E$4:$E$9&lt;=C340)),Hipoteca!$F$4:$F$9),Hipoteca!$C$6)</f>
        <v>0.029</v>
      </c>
      <c r="E340" s="24">
        <f>J339</f>
        <v>0</v>
      </c>
      <c r="F340" s="24">
        <f>IF(E340&lt;=0.005,0,MIN(E340*(1+D340/12),IF(OR(Hipoteca!$C$8="Reducir cuota",D340&lt;&gt;D339),PMT(D340/12,K340,-E340),F339)))</f>
        <v>0</v>
      </c>
      <c r="G340" s="24">
        <f>E340*D340/12</f>
        <v>0</v>
      </c>
      <c r="H340" s="24">
        <f>IF(E340&lt;=0.005,0,MIN(E340,F340-G340))</f>
        <v>0</v>
      </c>
      <c r="I340" s="24">
        <f>MIN(E340-H340,SUMPRODUCT((YEAR(Hipoteca!$H$4:$H$15)=YEAR(C340))*(MONTH(Hipoteca!$H$4:$H$15)=MONTH(C340))*(Hipoteca!$H$4:$H$15&lt;&gt;"")*Hipoteca!$I$4:$I$15))</f>
        <v>0</v>
      </c>
      <c r="J340" s="24">
        <f>MAX(0,E340-H340-I340)</f>
        <v>0</v>
      </c>
      <c r="K340" s="21">
        <f>IF(E340&lt;=0.005,0,IF(Hipoteca!$C$8="Reducir cuota",$K$6-(B340-1),IFERROR(MAX(1,ROUNDUP(NPER(D339/12,-F339,E340),0)),$K$6-(B340-1))))</f>
        <v>0</v>
      </c>
      <c r="L340" s="21">
        <f>YEAR(C340)</f>
        <v>2054</v>
      </c>
      <c r="N340" s="25">
        <f>R339</f>
        <v>18843.876795682114</v>
      </c>
      <c r="O340" s="25">
        <f>IF(N340&lt;=0.005,0,IF(D340&lt;&gt;D339,PMT(D340/12,Hipoteca!$C$5*12-(B340-1),-N340),O339))</f>
        <v>748.6477272887904</v>
      </c>
      <c r="P340" s="25">
        <f>N340*D340/12</f>
        <v>45.53936892289844</v>
      </c>
      <c r="Q340" s="25">
        <f>IF(N340&lt;=0.005,0,MIN(N340,O340-P340))</f>
        <v>703.108358365892</v>
      </c>
      <c r="R340" s="25">
        <f>MAX(0,N340-Q340)</f>
        <v>18140.768437316223</v>
      </c>
    </row>
    <row r="341" spans="2:18" ht="18" customHeight="1">
      <c r="B341" s="21">
        <f>ROW()-5</f>
        <v>336</v>
      </c>
      <c r="C341" s="22">
        <f>EDATE(Hipoteca!$C$7,B341-1)</f>
        <v>56523.0</v>
      </c>
      <c r="D341" s="23">
        <f>IFERROR(LOOKUP(2,1/((Hipoteca!$E$4:$E$9&lt;&gt;"")*(Hipoteca!$E$4:$E$9&lt;=C341)),Hipoteca!$F$4:$F$9),Hipoteca!$C$6)</f>
        <v>0.029</v>
      </c>
      <c r="E341" s="24">
        <f>J340</f>
        <v>0</v>
      </c>
      <c r="F341" s="24">
        <f>IF(E341&lt;=0.005,0,MIN(E341*(1+D341/12),IF(OR(Hipoteca!$C$8="Reducir cuota",D341&lt;&gt;D340),PMT(D341/12,K341,-E341),F340)))</f>
        <v>0</v>
      </c>
      <c r="G341" s="24">
        <f>E341*D341/12</f>
        <v>0</v>
      </c>
      <c r="H341" s="24">
        <f>IF(E341&lt;=0.005,0,MIN(E341,F341-G341))</f>
        <v>0</v>
      </c>
      <c r="I341" s="24">
        <f>MIN(E341-H341,SUMPRODUCT((YEAR(Hipoteca!$H$4:$H$15)=YEAR(C341))*(MONTH(Hipoteca!$H$4:$H$15)=MONTH(C341))*(Hipoteca!$H$4:$H$15&lt;&gt;"")*Hipoteca!$I$4:$I$15))</f>
        <v>0</v>
      </c>
      <c r="J341" s="24">
        <f>MAX(0,E341-H341-I341)</f>
        <v>0</v>
      </c>
      <c r="K341" s="21">
        <f>IF(E341&lt;=0.005,0,IF(Hipoteca!$C$8="Reducir cuota",$K$6-(B341-1),IFERROR(MAX(1,ROUNDUP(NPER(D340/12,-F340,E341),0)),$K$6-(B341-1))))</f>
        <v>0</v>
      </c>
      <c r="L341" s="21">
        <f>YEAR(C341)</f>
        <v>2054</v>
      </c>
      <c r="N341" s="25">
        <f>R340</f>
        <v>18140.768437316223</v>
      </c>
      <c r="O341" s="25">
        <f>IF(N341&lt;=0.005,0,IF(D341&lt;&gt;D340,PMT(D341/12,Hipoteca!$C$5*12-(B341-1),-N341),O340))</f>
        <v>748.6477272887904</v>
      </c>
      <c r="P341" s="25">
        <f>N341*D341/12</f>
        <v>43.84019039018087</v>
      </c>
      <c r="Q341" s="25">
        <f>IF(N341&lt;=0.005,0,MIN(N341,O341-P341))</f>
        <v>704.8075368986096</v>
      </c>
      <c r="R341" s="25">
        <f>MAX(0,N341-Q341)</f>
        <v>17435.960900417613</v>
      </c>
    </row>
    <row r="342" spans="2:18" ht="18" customHeight="1">
      <c r="B342" s="21">
        <f>ROW()-5</f>
        <v>337</v>
      </c>
      <c r="C342" s="22">
        <f>EDATE(Hipoteca!$C$7,B342-1)</f>
        <v>56554.0</v>
      </c>
      <c r="D342" s="23">
        <f>IFERROR(LOOKUP(2,1/((Hipoteca!$E$4:$E$9&lt;&gt;"")*(Hipoteca!$E$4:$E$9&lt;=C342)),Hipoteca!$F$4:$F$9),Hipoteca!$C$6)</f>
        <v>0.029</v>
      </c>
      <c r="E342" s="24">
        <f>J341</f>
        <v>0</v>
      </c>
      <c r="F342" s="24">
        <f>IF(E342&lt;=0.005,0,MIN(E342*(1+D342/12),IF(OR(Hipoteca!$C$8="Reducir cuota",D342&lt;&gt;D341),PMT(D342/12,K342,-E342),F341)))</f>
        <v>0</v>
      </c>
      <c r="G342" s="24">
        <f>E342*D342/12</f>
        <v>0</v>
      </c>
      <c r="H342" s="24">
        <f>IF(E342&lt;=0.005,0,MIN(E342,F342-G342))</f>
        <v>0</v>
      </c>
      <c r="I342" s="24">
        <f>MIN(E342-H342,SUMPRODUCT((YEAR(Hipoteca!$H$4:$H$15)=YEAR(C342))*(MONTH(Hipoteca!$H$4:$H$15)=MONTH(C342))*(Hipoteca!$H$4:$H$15&lt;&gt;"")*Hipoteca!$I$4:$I$15))</f>
        <v>0</v>
      </c>
      <c r="J342" s="24">
        <f>MAX(0,E342-H342-I342)</f>
        <v>0</v>
      </c>
      <c r="K342" s="21">
        <f>IF(E342&lt;=0.005,0,IF(Hipoteca!$C$8="Reducir cuota",$K$6-(B342-1),IFERROR(MAX(1,ROUNDUP(NPER(D341/12,-F341,E342),0)),$K$6-(B342-1))))</f>
        <v>0</v>
      </c>
      <c r="L342" s="21">
        <f>YEAR(C342)</f>
        <v>2054</v>
      </c>
      <c r="N342" s="25">
        <f>R341</f>
        <v>17435.960900417613</v>
      </c>
      <c r="O342" s="25">
        <f>IF(N342&lt;=0.005,0,IF(D342&lt;&gt;D341,PMT(D342/12,Hipoteca!$C$5*12-(B342-1),-N342),O341))</f>
        <v>748.6477272887904</v>
      </c>
      <c r="P342" s="25">
        <f>N342*D342/12</f>
        <v>42.13690550934256</v>
      </c>
      <c r="Q342" s="25">
        <f>IF(N342&lt;=0.005,0,MIN(N342,O342-P342))</f>
        <v>706.5108217794478</v>
      </c>
      <c r="R342" s="25">
        <f>MAX(0,N342-Q342)</f>
        <v>16729.450078638165</v>
      </c>
    </row>
    <row r="343" spans="2:18" ht="18" customHeight="1">
      <c r="B343" s="21">
        <f>ROW()-5</f>
        <v>338</v>
      </c>
      <c r="C343" s="22">
        <f>EDATE(Hipoteca!$C$7,B343-1)</f>
        <v>56584.0</v>
      </c>
      <c r="D343" s="23">
        <f>IFERROR(LOOKUP(2,1/((Hipoteca!$E$4:$E$9&lt;&gt;"")*(Hipoteca!$E$4:$E$9&lt;=C343)),Hipoteca!$F$4:$F$9),Hipoteca!$C$6)</f>
        <v>0.029</v>
      </c>
      <c r="E343" s="24">
        <f>J342</f>
        <v>0</v>
      </c>
      <c r="F343" s="24">
        <f>IF(E343&lt;=0.005,0,MIN(E343*(1+D343/12),IF(OR(Hipoteca!$C$8="Reducir cuota",D343&lt;&gt;D342),PMT(D343/12,K343,-E343),F342)))</f>
        <v>0</v>
      </c>
      <c r="G343" s="24">
        <f>E343*D343/12</f>
        <v>0</v>
      </c>
      <c r="H343" s="24">
        <f>IF(E343&lt;=0.005,0,MIN(E343,F343-G343))</f>
        <v>0</v>
      </c>
      <c r="I343" s="24">
        <f>MIN(E343-H343,SUMPRODUCT((YEAR(Hipoteca!$H$4:$H$15)=YEAR(C343))*(MONTH(Hipoteca!$H$4:$H$15)=MONTH(C343))*(Hipoteca!$H$4:$H$15&lt;&gt;"")*Hipoteca!$I$4:$I$15))</f>
        <v>0</v>
      </c>
      <c r="J343" s="24">
        <f>MAX(0,E343-H343-I343)</f>
        <v>0</v>
      </c>
      <c r="K343" s="21">
        <f>IF(E343&lt;=0.005,0,IF(Hipoteca!$C$8="Reducir cuota",$K$6-(B343-1),IFERROR(MAX(1,ROUNDUP(NPER(D342/12,-F342,E343),0)),$K$6-(B343-1))))</f>
        <v>0</v>
      </c>
      <c r="L343" s="21">
        <f>YEAR(C343)</f>
        <v>2054</v>
      </c>
      <c r="N343" s="25">
        <f>R342</f>
        <v>16729.450078638165</v>
      </c>
      <c r="O343" s="25">
        <f>IF(N343&lt;=0.005,0,IF(D343&lt;&gt;D342,PMT(D343/12,Hipoteca!$C$5*12-(B343-1),-N343),O342))</f>
        <v>748.6477272887904</v>
      </c>
      <c r="P343" s="25">
        <f>N343*D343/12</f>
        <v>40.4295043567089</v>
      </c>
      <c r="Q343" s="25">
        <f>IF(N343&lt;=0.005,0,MIN(N343,O343-P343))</f>
        <v>708.2182229320815</v>
      </c>
      <c r="R343" s="25">
        <f>MAX(0,N343-Q343)</f>
        <v>16021.231855706083</v>
      </c>
    </row>
    <row r="344" spans="2:18" ht="18" customHeight="1">
      <c r="B344" s="21">
        <f>ROW()-5</f>
        <v>339</v>
      </c>
      <c r="C344" s="22">
        <f>EDATE(Hipoteca!$C$7,B344-1)</f>
        <v>56615.0</v>
      </c>
      <c r="D344" s="23">
        <f>IFERROR(LOOKUP(2,1/((Hipoteca!$E$4:$E$9&lt;&gt;"")*(Hipoteca!$E$4:$E$9&lt;=C344)),Hipoteca!$F$4:$F$9),Hipoteca!$C$6)</f>
        <v>0.029</v>
      </c>
      <c r="E344" s="24">
        <f>J343</f>
        <v>0</v>
      </c>
      <c r="F344" s="24">
        <f>IF(E344&lt;=0.005,0,MIN(E344*(1+D344/12),IF(OR(Hipoteca!$C$8="Reducir cuota",D344&lt;&gt;D343),PMT(D344/12,K344,-E344),F343)))</f>
        <v>0</v>
      </c>
      <c r="G344" s="24">
        <f>E344*D344/12</f>
        <v>0</v>
      </c>
      <c r="H344" s="24">
        <f>IF(E344&lt;=0.005,0,MIN(E344,F344-G344))</f>
        <v>0</v>
      </c>
      <c r="I344" s="24">
        <f>MIN(E344-H344,SUMPRODUCT((YEAR(Hipoteca!$H$4:$H$15)=YEAR(C344))*(MONTH(Hipoteca!$H$4:$H$15)=MONTH(C344))*(Hipoteca!$H$4:$H$15&lt;&gt;"")*Hipoteca!$I$4:$I$15))</f>
        <v>0</v>
      </c>
      <c r="J344" s="24">
        <f>MAX(0,E344-H344-I344)</f>
        <v>0</v>
      </c>
      <c r="K344" s="21">
        <f>IF(E344&lt;=0.005,0,IF(Hipoteca!$C$8="Reducir cuota",$K$6-(B344-1),IFERROR(MAX(1,ROUNDUP(NPER(D343/12,-F343,E344),0)),$K$6-(B344-1))))</f>
        <v>0</v>
      </c>
      <c r="L344" s="21">
        <f>YEAR(C344)</f>
        <v>2055</v>
      </c>
      <c r="N344" s="25">
        <f>R343</f>
        <v>16021.231855706083</v>
      </c>
      <c r="O344" s="25">
        <f>IF(N344&lt;=0.005,0,IF(D344&lt;&gt;D343,PMT(D344/12,Hipoteca!$C$5*12-(B344-1),-N344),O343))</f>
        <v>748.6477272887904</v>
      </c>
      <c r="P344" s="25">
        <f>N344*D344/12</f>
        <v>38.717976984623036</v>
      </c>
      <c r="Q344" s="25">
        <f>IF(N344&lt;=0.005,0,MIN(N344,O344-P344))</f>
        <v>709.9297503041673</v>
      </c>
      <c r="R344" s="25">
        <f>MAX(0,N344-Q344)</f>
        <v>15311.302105401915</v>
      </c>
    </row>
    <row r="345" spans="2:18" ht="18" customHeight="1">
      <c r="B345" s="21">
        <f>ROW()-5</f>
        <v>340</v>
      </c>
      <c r="C345" s="22">
        <f>EDATE(Hipoteca!$C$7,B345-1)</f>
        <v>56646.0</v>
      </c>
      <c r="D345" s="23">
        <f>IFERROR(LOOKUP(2,1/((Hipoteca!$E$4:$E$9&lt;&gt;"")*(Hipoteca!$E$4:$E$9&lt;=C345)),Hipoteca!$F$4:$F$9),Hipoteca!$C$6)</f>
        <v>0.029</v>
      </c>
      <c r="E345" s="24">
        <f>J344</f>
        <v>0</v>
      </c>
      <c r="F345" s="24">
        <f>IF(E345&lt;=0.005,0,MIN(E345*(1+D345/12),IF(OR(Hipoteca!$C$8="Reducir cuota",D345&lt;&gt;D344),PMT(D345/12,K345,-E345),F344)))</f>
        <v>0</v>
      </c>
      <c r="G345" s="24">
        <f>E345*D345/12</f>
        <v>0</v>
      </c>
      <c r="H345" s="24">
        <f>IF(E345&lt;=0.005,0,MIN(E345,F345-G345))</f>
        <v>0</v>
      </c>
      <c r="I345" s="24">
        <f>MIN(E345-H345,SUMPRODUCT((YEAR(Hipoteca!$H$4:$H$15)=YEAR(C345))*(MONTH(Hipoteca!$H$4:$H$15)=MONTH(C345))*(Hipoteca!$H$4:$H$15&lt;&gt;"")*Hipoteca!$I$4:$I$15))</f>
        <v>0</v>
      </c>
      <c r="J345" s="24">
        <f>MAX(0,E345-H345-I345)</f>
        <v>0</v>
      </c>
      <c r="K345" s="21">
        <f>IF(E345&lt;=0.005,0,IF(Hipoteca!$C$8="Reducir cuota",$K$6-(B345-1),IFERROR(MAX(1,ROUNDUP(NPER(D344/12,-F344,E345),0)),$K$6-(B345-1))))</f>
        <v>0</v>
      </c>
      <c r="L345" s="21">
        <f>YEAR(C345)</f>
        <v>2055</v>
      </c>
      <c r="N345" s="25">
        <f>R344</f>
        <v>15311.302105401915</v>
      </c>
      <c r="O345" s="25">
        <f>IF(N345&lt;=0.005,0,IF(D345&lt;&gt;D344,PMT(D345/12,Hipoteca!$C$5*12-(B345-1),-N345),O344))</f>
        <v>748.6477272887904</v>
      </c>
      <c r="P345" s="25">
        <f>N345*D345/12</f>
        <v>37.00231342138796</v>
      </c>
      <c r="Q345" s="25">
        <f>IF(N345&lt;=0.005,0,MIN(N345,O345-P345))</f>
        <v>711.6454138674025</v>
      </c>
      <c r="R345" s="25">
        <f>MAX(0,N345-Q345)</f>
        <v>14599.656691534514</v>
      </c>
    </row>
    <row r="346" spans="2:18" ht="18" customHeight="1">
      <c r="B346" s="21">
        <f>ROW()-5</f>
        <v>341</v>
      </c>
      <c r="C346" s="22">
        <f>EDATE(Hipoteca!$C$7,B346-1)</f>
        <v>56674.0</v>
      </c>
      <c r="D346" s="23">
        <f>IFERROR(LOOKUP(2,1/((Hipoteca!$E$4:$E$9&lt;&gt;"")*(Hipoteca!$E$4:$E$9&lt;=C346)),Hipoteca!$F$4:$F$9),Hipoteca!$C$6)</f>
        <v>0.029</v>
      </c>
      <c r="E346" s="24">
        <f>J345</f>
        <v>0</v>
      </c>
      <c r="F346" s="24">
        <f>IF(E346&lt;=0.005,0,MIN(E346*(1+D346/12),IF(OR(Hipoteca!$C$8="Reducir cuota",D346&lt;&gt;D345),PMT(D346/12,K346,-E346),F345)))</f>
        <v>0</v>
      </c>
      <c r="G346" s="24">
        <f>E346*D346/12</f>
        <v>0</v>
      </c>
      <c r="H346" s="24">
        <f>IF(E346&lt;=0.005,0,MIN(E346,F346-G346))</f>
        <v>0</v>
      </c>
      <c r="I346" s="24">
        <f>MIN(E346-H346,SUMPRODUCT((YEAR(Hipoteca!$H$4:$H$15)=YEAR(C346))*(MONTH(Hipoteca!$H$4:$H$15)=MONTH(C346))*(Hipoteca!$H$4:$H$15&lt;&gt;"")*Hipoteca!$I$4:$I$15))</f>
        <v>0</v>
      </c>
      <c r="J346" s="24">
        <f>MAX(0,E346-H346-I346)</f>
        <v>0</v>
      </c>
      <c r="K346" s="21">
        <f>IF(E346&lt;=0.005,0,IF(Hipoteca!$C$8="Reducir cuota",$K$6-(B346-1),IFERROR(MAX(1,ROUNDUP(NPER(D345/12,-F345,E346),0)),$K$6-(B346-1))))</f>
        <v>0</v>
      </c>
      <c r="L346" s="21">
        <f>YEAR(C346)</f>
        <v>2055</v>
      </c>
      <c r="N346" s="25">
        <f>R345</f>
        <v>14599.656691534514</v>
      </c>
      <c r="O346" s="25">
        <f>IF(N346&lt;=0.005,0,IF(D346&lt;&gt;D345,PMT(D346/12,Hipoteca!$C$5*12-(B346-1),-N346),O345))</f>
        <v>748.6477272887904</v>
      </c>
      <c r="P346" s="25">
        <f>N346*D346/12</f>
        <v>35.28250367120841</v>
      </c>
      <c r="Q346" s="25">
        <f>IF(N346&lt;=0.005,0,MIN(N346,O346-P346))</f>
        <v>713.365223617582</v>
      </c>
      <c r="R346" s="25">
        <f>MAX(0,N346-Q346)</f>
        <v>13886.291467916932</v>
      </c>
    </row>
    <row r="347" spans="2:18" ht="18" customHeight="1">
      <c r="B347" s="21">
        <f>ROW()-5</f>
        <v>342</v>
      </c>
      <c r="C347" s="22">
        <f>EDATE(Hipoteca!$C$7,B347-1)</f>
        <v>56705.0</v>
      </c>
      <c r="D347" s="23">
        <f>IFERROR(LOOKUP(2,1/((Hipoteca!$E$4:$E$9&lt;&gt;"")*(Hipoteca!$E$4:$E$9&lt;=C347)),Hipoteca!$F$4:$F$9),Hipoteca!$C$6)</f>
        <v>0.029</v>
      </c>
      <c r="E347" s="24">
        <f>J346</f>
        <v>0</v>
      </c>
      <c r="F347" s="24">
        <f>IF(E347&lt;=0.005,0,MIN(E347*(1+D347/12),IF(OR(Hipoteca!$C$8="Reducir cuota",D347&lt;&gt;D346),PMT(D347/12,K347,-E347),F346)))</f>
        <v>0</v>
      </c>
      <c r="G347" s="24">
        <f>E347*D347/12</f>
        <v>0</v>
      </c>
      <c r="H347" s="24">
        <f>IF(E347&lt;=0.005,0,MIN(E347,F347-G347))</f>
        <v>0</v>
      </c>
      <c r="I347" s="24">
        <f>MIN(E347-H347,SUMPRODUCT((YEAR(Hipoteca!$H$4:$H$15)=YEAR(C347))*(MONTH(Hipoteca!$H$4:$H$15)=MONTH(C347))*(Hipoteca!$H$4:$H$15&lt;&gt;"")*Hipoteca!$I$4:$I$15))</f>
        <v>0</v>
      </c>
      <c r="J347" s="24">
        <f>MAX(0,E347-H347-I347)</f>
        <v>0</v>
      </c>
      <c r="K347" s="21">
        <f>IF(E347&lt;=0.005,0,IF(Hipoteca!$C$8="Reducir cuota",$K$6-(B347-1),IFERROR(MAX(1,ROUNDUP(NPER(D346/12,-F346,E347),0)),$K$6-(B347-1))))</f>
        <v>0</v>
      </c>
      <c r="L347" s="21">
        <f>YEAR(C347)</f>
        <v>2055</v>
      </c>
      <c r="N347" s="25">
        <f>R346</f>
        <v>13886.291467916932</v>
      </c>
      <c r="O347" s="25">
        <f>IF(N347&lt;=0.005,0,IF(D347&lt;&gt;D346,PMT(D347/12,Hipoteca!$C$5*12-(B347-1),-N347),O346))</f>
        <v>748.6477272887904</v>
      </c>
      <c r="P347" s="25">
        <f>N347*D347/12</f>
        <v>33.55853771413259</v>
      </c>
      <c r="Q347" s="25">
        <f>IF(N347&lt;=0.005,0,MIN(N347,O347-P347))</f>
        <v>715.0891895746578</v>
      </c>
      <c r="R347" s="25">
        <f>MAX(0,N347-Q347)</f>
        <v>13171.202278342274</v>
      </c>
    </row>
    <row r="348" spans="2:18" ht="18" customHeight="1">
      <c r="B348" s="21">
        <f>ROW()-5</f>
        <v>343</v>
      </c>
      <c r="C348" s="22">
        <f>EDATE(Hipoteca!$C$7,B348-1)</f>
        <v>56735.0</v>
      </c>
      <c r="D348" s="23">
        <f>IFERROR(LOOKUP(2,1/((Hipoteca!$E$4:$E$9&lt;&gt;"")*(Hipoteca!$E$4:$E$9&lt;=C348)),Hipoteca!$F$4:$F$9),Hipoteca!$C$6)</f>
        <v>0.029</v>
      </c>
      <c r="E348" s="24">
        <f>J347</f>
        <v>0</v>
      </c>
      <c r="F348" s="24">
        <f>IF(E348&lt;=0.005,0,MIN(E348*(1+D348/12),IF(OR(Hipoteca!$C$8="Reducir cuota",D348&lt;&gt;D347),PMT(D348/12,K348,-E348),F347)))</f>
        <v>0</v>
      </c>
      <c r="G348" s="24">
        <f>E348*D348/12</f>
        <v>0</v>
      </c>
      <c r="H348" s="24">
        <f>IF(E348&lt;=0.005,0,MIN(E348,F348-G348))</f>
        <v>0</v>
      </c>
      <c r="I348" s="24">
        <f>MIN(E348-H348,SUMPRODUCT((YEAR(Hipoteca!$H$4:$H$15)=YEAR(C348))*(MONTH(Hipoteca!$H$4:$H$15)=MONTH(C348))*(Hipoteca!$H$4:$H$15&lt;&gt;"")*Hipoteca!$I$4:$I$15))</f>
        <v>0</v>
      </c>
      <c r="J348" s="24">
        <f>MAX(0,E348-H348-I348)</f>
        <v>0</v>
      </c>
      <c r="K348" s="21">
        <f>IF(E348&lt;=0.005,0,IF(Hipoteca!$C$8="Reducir cuota",$K$6-(B348-1),IFERROR(MAX(1,ROUNDUP(NPER(D347/12,-F347,E348),0)),$K$6-(B348-1))))</f>
        <v>0</v>
      </c>
      <c r="L348" s="21">
        <f>YEAR(C348)</f>
        <v>2055</v>
      </c>
      <c r="N348" s="25">
        <f>R347</f>
        <v>13171.202278342274</v>
      </c>
      <c r="O348" s="25">
        <f>IF(N348&lt;=0.005,0,IF(D348&lt;&gt;D347,PMT(D348/12,Hipoteca!$C$5*12-(B348-1),-N348),O347))</f>
        <v>748.6477272887904</v>
      </c>
      <c r="P348" s="25">
        <f>N348*D348/12</f>
        <v>31.830405505993834</v>
      </c>
      <c r="Q348" s="25">
        <f>IF(N348&lt;=0.005,0,MIN(N348,O348-P348))</f>
        <v>716.8173217827966</v>
      </c>
      <c r="R348" s="25">
        <f>MAX(0,N348-Q348)</f>
        <v>12454.384956559477</v>
      </c>
    </row>
    <row r="349" spans="2:18" ht="18" customHeight="1">
      <c r="B349" s="21">
        <f>ROW()-5</f>
        <v>344</v>
      </c>
      <c r="C349" s="22">
        <f>EDATE(Hipoteca!$C$7,B349-1)</f>
        <v>56766.0</v>
      </c>
      <c r="D349" s="23">
        <f>IFERROR(LOOKUP(2,1/((Hipoteca!$E$4:$E$9&lt;&gt;"")*(Hipoteca!$E$4:$E$9&lt;=C349)),Hipoteca!$F$4:$F$9),Hipoteca!$C$6)</f>
        <v>0.029</v>
      </c>
      <c r="E349" s="24">
        <f>J348</f>
        <v>0</v>
      </c>
      <c r="F349" s="24">
        <f>IF(E349&lt;=0.005,0,MIN(E349*(1+D349/12),IF(OR(Hipoteca!$C$8="Reducir cuota",D349&lt;&gt;D348),PMT(D349/12,K349,-E349),F348)))</f>
        <v>0</v>
      </c>
      <c r="G349" s="24">
        <f>E349*D349/12</f>
        <v>0</v>
      </c>
      <c r="H349" s="24">
        <f>IF(E349&lt;=0.005,0,MIN(E349,F349-G349))</f>
        <v>0</v>
      </c>
      <c r="I349" s="24">
        <f>MIN(E349-H349,SUMPRODUCT((YEAR(Hipoteca!$H$4:$H$15)=YEAR(C349))*(MONTH(Hipoteca!$H$4:$H$15)=MONTH(C349))*(Hipoteca!$H$4:$H$15&lt;&gt;"")*Hipoteca!$I$4:$I$15))</f>
        <v>0</v>
      </c>
      <c r="J349" s="24">
        <f>MAX(0,E349-H349-I349)</f>
        <v>0</v>
      </c>
      <c r="K349" s="21">
        <f>IF(E349&lt;=0.005,0,IF(Hipoteca!$C$8="Reducir cuota",$K$6-(B349-1),IFERROR(MAX(1,ROUNDUP(NPER(D348/12,-F348,E349),0)),$K$6-(B349-1))))</f>
        <v>0</v>
      </c>
      <c r="L349" s="21">
        <f>YEAR(C349)</f>
        <v>2055</v>
      </c>
      <c r="N349" s="25">
        <f>R348</f>
        <v>12454.384956559477</v>
      </c>
      <c r="O349" s="25">
        <f>IF(N349&lt;=0.005,0,IF(D349&lt;&gt;D348,PMT(D349/12,Hipoteca!$C$5*12-(B349-1),-N349),O348))</f>
        <v>748.6477272887904</v>
      </c>
      <c r="P349" s="25">
        <f>N349*D349/12</f>
        <v>30.09809697835207</v>
      </c>
      <c r="Q349" s="25">
        <f>IF(N349&lt;=0.005,0,MIN(N349,O349-P349))</f>
        <v>718.5496303104384</v>
      </c>
      <c r="R349" s="25">
        <f>MAX(0,N349-Q349)</f>
        <v>11735.835326249038</v>
      </c>
    </row>
    <row r="350" spans="2:18" ht="18" customHeight="1">
      <c r="B350" s="21">
        <f>ROW()-5</f>
        <v>345</v>
      </c>
      <c r="C350" s="22">
        <f>EDATE(Hipoteca!$C$7,B350-1)</f>
        <v>56796.0</v>
      </c>
      <c r="D350" s="23">
        <f>IFERROR(LOOKUP(2,1/((Hipoteca!$E$4:$E$9&lt;&gt;"")*(Hipoteca!$E$4:$E$9&lt;=C350)),Hipoteca!$F$4:$F$9),Hipoteca!$C$6)</f>
        <v>0.029</v>
      </c>
      <c r="E350" s="24">
        <f>J349</f>
        <v>0</v>
      </c>
      <c r="F350" s="24">
        <f>IF(E350&lt;=0.005,0,MIN(E350*(1+D350/12),IF(OR(Hipoteca!$C$8="Reducir cuota",D350&lt;&gt;D349),PMT(D350/12,K350,-E350),F349)))</f>
        <v>0</v>
      </c>
      <c r="G350" s="24">
        <f>E350*D350/12</f>
        <v>0</v>
      </c>
      <c r="H350" s="24">
        <f>IF(E350&lt;=0.005,0,MIN(E350,F350-G350))</f>
        <v>0</v>
      </c>
      <c r="I350" s="24">
        <f>MIN(E350-H350,SUMPRODUCT((YEAR(Hipoteca!$H$4:$H$15)=YEAR(C350))*(MONTH(Hipoteca!$H$4:$H$15)=MONTH(C350))*(Hipoteca!$H$4:$H$15&lt;&gt;"")*Hipoteca!$I$4:$I$15))</f>
        <v>0</v>
      </c>
      <c r="J350" s="24">
        <f>MAX(0,E350-H350-I350)</f>
        <v>0</v>
      </c>
      <c r="K350" s="21">
        <f>IF(E350&lt;=0.005,0,IF(Hipoteca!$C$8="Reducir cuota",$K$6-(B350-1),IFERROR(MAX(1,ROUNDUP(NPER(D349/12,-F349,E350),0)),$K$6-(B350-1))))</f>
        <v>0</v>
      </c>
      <c r="L350" s="21">
        <f>YEAR(C350)</f>
        <v>2055</v>
      </c>
      <c r="N350" s="25">
        <f>R349</f>
        <v>11735.835326249038</v>
      </c>
      <c r="O350" s="25">
        <f>IF(N350&lt;=0.005,0,IF(D350&lt;&gt;D349,PMT(D350/12,Hipoteca!$C$5*12-(B350-1),-N350),O349))</f>
        <v>748.6477272887904</v>
      </c>
      <c r="P350" s="25">
        <f>N350*D350/12</f>
        <v>28.361602038435176</v>
      </c>
      <c r="Q350" s="25">
        <f>IF(N350&lt;=0.005,0,MIN(N350,O350-P350))</f>
        <v>720.2861252503552</v>
      </c>
      <c r="R350" s="25">
        <f>MAX(0,N350-Q350)</f>
        <v>11015.549200998683</v>
      </c>
    </row>
    <row r="351" spans="2:18" ht="18" customHeight="1">
      <c r="B351" s="21">
        <f>ROW()-5</f>
        <v>346</v>
      </c>
      <c r="C351" s="22">
        <f>EDATE(Hipoteca!$C$7,B351-1)</f>
        <v>56827.0</v>
      </c>
      <c r="D351" s="23">
        <f>IFERROR(LOOKUP(2,1/((Hipoteca!$E$4:$E$9&lt;&gt;"")*(Hipoteca!$E$4:$E$9&lt;=C351)),Hipoteca!$F$4:$F$9),Hipoteca!$C$6)</f>
        <v>0.029</v>
      </c>
      <c r="E351" s="24">
        <f>J350</f>
        <v>0</v>
      </c>
      <c r="F351" s="24">
        <f>IF(E351&lt;=0.005,0,MIN(E351*(1+D351/12),IF(OR(Hipoteca!$C$8="Reducir cuota",D351&lt;&gt;D350),PMT(D351/12,K351,-E351),F350)))</f>
        <v>0</v>
      </c>
      <c r="G351" s="24">
        <f>E351*D351/12</f>
        <v>0</v>
      </c>
      <c r="H351" s="24">
        <f>IF(E351&lt;=0.005,0,MIN(E351,F351-G351))</f>
        <v>0</v>
      </c>
      <c r="I351" s="24">
        <f>MIN(E351-H351,SUMPRODUCT((YEAR(Hipoteca!$H$4:$H$15)=YEAR(C351))*(MONTH(Hipoteca!$H$4:$H$15)=MONTH(C351))*(Hipoteca!$H$4:$H$15&lt;&gt;"")*Hipoteca!$I$4:$I$15))</f>
        <v>0</v>
      </c>
      <c r="J351" s="24">
        <f>MAX(0,E351-H351-I351)</f>
        <v>0</v>
      </c>
      <c r="K351" s="21">
        <f>IF(E351&lt;=0.005,0,IF(Hipoteca!$C$8="Reducir cuota",$K$6-(B351-1),IFERROR(MAX(1,ROUNDUP(NPER(D350/12,-F350,E351),0)),$K$6-(B351-1))))</f>
        <v>0</v>
      </c>
      <c r="L351" s="21">
        <f>YEAR(C351)</f>
        <v>2055</v>
      </c>
      <c r="N351" s="25">
        <f>R350</f>
        <v>11015.549200998683</v>
      </c>
      <c r="O351" s="25">
        <f>IF(N351&lt;=0.005,0,IF(D351&lt;&gt;D350,PMT(D351/12,Hipoteca!$C$5*12-(B351-1),-N351),O350))</f>
        <v>748.6477272887904</v>
      </c>
      <c r="P351" s="25">
        <f>N351*D351/12</f>
        <v>26.620910569080152</v>
      </c>
      <c r="Q351" s="25">
        <f>IF(N351&lt;=0.005,0,MIN(N351,O351-P351))</f>
        <v>722.0268167197103</v>
      </c>
      <c r="R351" s="25">
        <f>MAX(0,N351-Q351)</f>
        <v>10293.522384278973</v>
      </c>
    </row>
    <row r="352" spans="2:18" ht="18" customHeight="1">
      <c r="B352" s="21">
        <f>ROW()-5</f>
        <v>347</v>
      </c>
      <c r="C352" s="22">
        <f>EDATE(Hipoteca!$C$7,B352-1)</f>
        <v>56858.0</v>
      </c>
      <c r="D352" s="23">
        <f>IFERROR(LOOKUP(2,1/((Hipoteca!$E$4:$E$9&lt;&gt;"")*(Hipoteca!$E$4:$E$9&lt;=C352)),Hipoteca!$F$4:$F$9),Hipoteca!$C$6)</f>
        <v>0.029</v>
      </c>
      <c r="E352" s="24">
        <f>J351</f>
        <v>0</v>
      </c>
      <c r="F352" s="24">
        <f>IF(E352&lt;=0.005,0,MIN(E352*(1+D352/12),IF(OR(Hipoteca!$C$8="Reducir cuota",D352&lt;&gt;D351),PMT(D352/12,K352,-E352),F351)))</f>
        <v>0</v>
      </c>
      <c r="G352" s="24">
        <f>E352*D352/12</f>
        <v>0</v>
      </c>
      <c r="H352" s="24">
        <f>IF(E352&lt;=0.005,0,MIN(E352,F352-G352))</f>
        <v>0</v>
      </c>
      <c r="I352" s="24">
        <f>MIN(E352-H352,SUMPRODUCT((YEAR(Hipoteca!$H$4:$H$15)=YEAR(C352))*(MONTH(Hipoteca!$H$4:$H$15)=MONTH(C352))*(Hipoteca!$H$4:$H$15&lt;&gt;"")*Hipoteca!$I$4:$I$15))</f>
        <v>0</v>
      </c>
      <c r="J352" s="24">
        <f>MAX(0,E352-H352-I352)</f>
        <v>0</v>
      </c>
      <c r="K352" s="21">
        <f>IF(E352&lt;=0.005,0,IF(Hipoteca!$C$8="Reducir cuota",$K$6-(B352-1),IFERROR(MAX(1,ROUNDUP(NPER(D351/12,-F351,E352),0)),$K$6-(B352-1))))</f>
        <v>0</v>
      </c>
      <c r="L352" s="21">
        <f>YEAR(C352)</f>
        <v>2055</v>
      </c>
      <c r="N352" s="25">
        <f>R351</f>
        <v>10293.522384278973</v>
      </c>
      <c r="O352" s="25">
        <f>IF(N352&lt;=0.005,0,IF(D352&lt;&gt;D351,PMT(D352/12,Hipoteca!$C$5*12-(B352-1),-N352),O351))</f>
        <v>748.6477272887904</v>
      </c>
      <c r="P352" s="25">
        <f>N352*D352/12</f>
        <v>24.876012428674187</v>
      </c>
      <c r="Q352" s="25">
        <f>IF(N352&lt;=0.005,0,MIN(N352,O352-P352))</f>
        <v>723.7717148601162</v>
      </c>
      <c r="R352" s="25">
        <f>MAX(0,N352-Q352)</f>
        <v>9569.750669418856</v>
      </c>
    </row>
    <row r="353" spans="2:18" ht="18" customHeight="1">
      <c r="B353" s="21">
        <f>ROW()-5</f>
        <v>348</v>
      </c>
      <c r="C353" s="22">
        <f>EDATE(Hipoteca!$C$7,B353-1)</f>
        <v>56888.0</v>
      </c>
      <c r="D353" s="23">
        <f>IFERROR(LOOKUP(2,1/((Hipoteca!$E$4:$E$9&lt;&gt;"")*(Hipoteca!$E$4:$E$9&lt;=C353)),Hipoteca!$F$4:$F$9),Hipoteca!$C$6)</f>
        <v>0.029</v>
      </c>
      <c r="E353" s="24">
        <f>J352</f>
        <v>0</v>
      </c>
      <c r="F353" s="24">
        <f>IF(E353&lt;=0.005,0,MIN(E353*(1+D353/12),IF(OR(Hipoteca!$C$8="Reducir cuota",D353&lt;&gt;D352),PMT(D353/12,K353,-E353),F352)))</f>
        <v>0</v>
      </c>
      <c r="G353" s="24">
        <f>E353*D353/12</f>
        <v>0</v>
      </c>
      <c r="H353" s="24">
        <f>IF(E353&lt;=0.005,0,MIN(E353,F353-G353))</f>
        <v>0</v>
      </c>
      <c r="I353" s="24">
        <f>MIN(E353-H353,SUMPRODUCT((YEAR(Hipoteca!$H$4:$H$15)=YEAR(C353))*(MONTH(Hipoteca!$H$4:$H$15)=MONTH(C353))*(Hipoteca!$H$4:$H$15&lt;&gt;"")*Hipoteca!$I$4:$I$15))</f>
        <v>0</v>
      </c>
      <c r="J353" s="24">
        <f>MAX(0,E353-H353-I353)</f>
        <v>0</v>
      </c>
      <c r="K353" s="21">
        <f>IF(E353&lt;=0.005,0,IF(Hipoteca!$C$8="Reducir cuota",$K$6-(B353-1),IFERROR(MAX(1,ROUNDUP(NPER(D352/12,-F352,E353),0)),$K$6-(B353-1))))</f>
        <v>0</v>
      </c>
      <c r="L353" s="21">
        <f>YEAR(C353)</f>
        <v>2055</v>
      </c>
      <c r="N353" s="25">
        <f>R352</f>
        <v>9569.750669418856</v>
      </c>
      <c r="O353" s="25">
        <f>IF(N353&lt;=0.005,0,IF(D353&lt;&gt;D352,PMT(D353/12,Hipoteca!$C$5*12-(B353-1),-N353),O352))</f>
        <v>748.6477272887904</v>
      </c>
      <c r="P353" s="25">
        <f>N353*D353/12</f>
        <v>23.12689745109557</v>
      </c>
      <c r="Q353" s="25">
        <f>IF(N353&lt;=0.005,0,MIN(N353,O353-P353))</f>
        <v>725.5208298376948</v>
      </c>
      <c r="R353" s="25">
        <f>MAX(0,N353-Q353)</f>
        <v>8844.229839581161</v>
      </c>
    </row>
    <row r="354" spans="2:18" ht="18" customHeight="1">
      <c r="B354" s="21">
        <f>ROW()-5</f>
        <v>349</v>
      </c>
      <c r="C354" s="22">
        <f>EDATE(Hipoteca!$C$7,B354-1)</f>
        <v>56919.0</v>
      </c>
      <c r="D354" s="23">
        <f>IFERROR(LOOKUP(2,1/((Hipoteca!$E$4:$E$9&lt;&gt;"")*(Hipoteca!$E$4:$E$9&lt;=C354)),Hipoteca!$F$4:$F$9),Hipoteca!$C$6)</f>
        <v>0.029</v>
      </c>
      <c r="E354" s="24">
        <f>J353</f>
        <v>0</v>
      </c>
      <c r="F354" s="24">
        <f>IF(E354&lt;=0.005,0,MIN(E354*(1+D354/12),IF(OR(Hipoteca!$C$8="Reducir cuota",D354&lt;&gt;D353),PMT(D354/12,K354,-E354),F353)))</f>
        <v>0</v>
      </c>
      <c r="G354" s="24">
        <f>E354*D354/12</f>
        <v>0</v>
      </c>
      <c r="H354" s="24">
        <f>IF(E354&lt;=0.005,0,MIN(E354,F354-G354))</f>
        <v>0</v>
      </c>
      <c r="I354" s="24">
        <f>MIN(E354-H354,SUMPRODUCT((YEAR(Hipoteca!$H$4:$H$15)=YEAR(C354))*(MONTH(Hipoteca!$H$4:$H$15)=MONTH(C354))*(Hipoteca!$H$4:$H$15&lt;&gt;"")*Hipoteca!$I$4:$I$15))</f>
        <v>0</v>
      </c>
      <c r="J354" s="24">
        <f>MAX(0,E354-H354-I354)</f>
        <v>0</v>
      </c>
      <c r="K354" s="21">
        <f>IF(E354&lt;=0.005,0,IF(Hipoteca!$C$8="Reducir cuota",$K$6-(B354-1),IFERROR(MAX(1,ROUNDUP(NPER(D353/12,-F353,E354),0)),$K$6-(B354-1))))</f>
        <v>0</v>
      </c>
      <c r="L354" s="21">
        <f>YEAR(C354)</f>
        <v>2055</v>
      </c>
      <c r="N354" s="25">
        <f>R353</f>
        <v>8844.229839581161</v>
      </c>
      <c r="O354" s="25">
        <f>IF(N354&lt;=0.005,0,IF(D354&lt;&gt;D353,PMT(D354/12,Hipoteca!$C$5*12-(B354-1),-N354),O353))</f>
        <v>748.6477272887904</v>
      </c>
      <c r="P354" s="25">
        <f>N354*D354/12</f>
        <v>21.373555445654475</v>
      </c>
      <c r="Q354" s="25">
        <f>IF(N354&lt;=0.005,0,MIN(N354,O354-P354))</f>
        <v>727.274171843136</v>
      </c>
      <c r="R354" s="25">
        <f>MAX(0,N354-Q354)</f>
        <v>8116.955667738025</v>
      </c>
    </row>
    <row r="355" spans="2:18" ht="18" customHeight="1">
      <c r="B355" s="21">
        <f>ROW()-5</f>
        <v>350</v>
      </c>
      <c r="C355" s="22">
        <f>EDATE(Hipoteca!$C$7,B355-1)</f>
        <v>56949.0</v>
      </c>
      <c r="D355" s="23">
        <f>IFERROR(LOOKUP(2,1/((Hipoteca!$E$4:$E$9&lt;&gt;"")*(Hipoteca!$E$4:$E$9&lt;=C355)),Hipoteca!$F$4:$F$9),Hipoteca!$C$6)</f>
        <v>0.029</v>
      </c>
      <c r="E355" s="24">
        <f>J354</f>
        <v>0</v>
      </c>
      <c r="F355" s="24">
        <f>IF(E355&lt;=0.005,0,MIN(E355*(1+D355/12),IF(OR(Hipoteca!$C$8="Reducir cuota",D355&lt;&gt;D354),PMT(D355/12,K355,-E355),F354)))</f>
        <v>0</v>
      </c>
      <c r="G355" s="24">
        <f>E355*D355/12</f>
        <v>0</v>
      </c>
      <c r="H355" s="24">
        <f>IF(E355&lt;=0.005,0,MIN(E355,F355-G355))</f>
        <v>0</v>
      </c>
      <c r="I355" s="24">
        <f>MIN(E355-H355,SUMPRODUCT((YEAR(Hipoteca!$H$4:$H$15)=YEAR(C355))*(MONTH(Hipoteca!$H$4:$H$15)=MONTH(C355))*(Hipoteca!$H$4:$H$15&lt;&gt;"")*Hipoteca!$I$4:$I$15))</f>
        <v>0</v>
      </c>
      <c r="J355" s="24">
        <f>MAX(0,E355-H355-I355)</f>
        <v>0</v>
      </c>
      <c r="K355" s="21">
        <f>IF(E355&lt;=0.005,0,IF(Hipoteca!$C$8="Reducir cuota",$K$6-(B355-1),IFERROR(MAX(1,ROUNDUP(NPER(D354/12,-F354,E355),0)),$K$6-(B355-1))))</f>
        <v>0</v>
      </c>
      <c r="L355" s="21">
        <f>YEAR(C355)</f>
        <v>2055</v>
      </c>
      <c r="N355" s="25">
        <f>R354</f>
        <v>8116.955667738025</v>
      </c>
      <c r="O355" s="25">
        <f>IF(N355&lt;=0.005,0,IF(D355&lt;&gt;D354,PMT(D355/12,Hipoteca!$C$5*12-(B355-1),-N355),O354))</f>
        <v>748.6477272887904</v>
      </c>
      <c r="P355" s="25">
        <f>N355*D355/12</f>
        <v>19.61597619703356</v>
      </c>
      <c r="Q355" s="25">
        <f>IF(N355&lt;=0.005,0,MIN(N355,O355-P355))</f>
        <v>729.0317510917569</v>
      </c>
      <c r="R355" s="25">
        <f>MAX(0,N355-Q355)</f>
        <v>7387.9239166462685</v>
      </c>
    </row>
    <row r="356" spans="2:18" ht="18" customHeight="1">
      <c r="B356" s="21">
        <f>ROW()-5</f>
        <v>351</v>
      </c>
      <c r="C356" s="22">
        <f>EDATE(Hipoteca!$C$7,B356-1)</f>
        <v>56980.0</v>
      </c>
      <c r="D356" s="23">
        <f>IFERROR(LOOKUP(2,1/((Hipoteca!$E$4:$E$9&lt;&gt;"")*(Hipoteca!$E$4:$E$9&lt;=C356)),Hipoteca!$F$4:$F$9),Hipoteca!$C$6)</f>
        <v>0.029</v>
      </c>
      <c r="E356" s="24">
        <f>J355</f>
        <v>0</v>
      </c>
      <c r="F356" s="24">
        <f>IF(E356&lt;=0.005,0,MIN(E356*(1+D356/12),IF(OR(Hipoteca!$C$8="Reducir cuota",D356&lt;&gt;D355),PMT(D356/12,K356,-E356),F355)))</f>
        <v>0</v>
      </c>
      <c r="G356" s="24">
        <f>E356*D356/12</f>
        <v>0</v>
      </c>
      <c r="H356" s="24">
        <f>IF(E356&lt;=0.005,0,MIN(E356,F356-G356))</f>
        <v>0</v>
      </c>
      <c r="I356" s="24">
        <f>MIN(E356-H356,SUMPRODUCT((YEAR(Hipoteca!$H$4:$H$15)=YEAR(C356))*(MONTH(Hipoteca!$H$4:$H$15)=MONTH(C356))*(Hipoteca!$H$4:$H$15&lt;&gt;"")*Hipoteca!$I$4:$I$15))</f>
        <v>0</v>
      </c>
      <c r="J356" s="24">
        <f>MAX(0,E356-H356-I356)</f>
        <v>0</v>
      </c>
      <c r="K356" s="21">
        <f>IF(E356&lt;=0.005,0,IF(Hipoteca!$C$8="Reducir cuota",$K$6-(B356-1),IFERROR(MAX(1,ROUNDUP(NPER(D355/12,-F355,E356),0)),$K$6-(B356-1))))</f>
        <v>0</v>
      </c>
      <c r="L356" s="21">
        <f>YEAR(C356)</f>
        <v>2056</v>
      </c>
      <c r="N356" s="25">
        <f>R355</f>
        <v>7387.9239166462685</v>
      </c>
      <c r="O356" s="25">
        <f>IF(N356&lt;=0.005,0,IF(D356&lt;&gt;D355,PMT(D356/12,Hipoteca!$C$5*12-(B356-1),-N356),O355))</f>
        <v>748.6477272887904</v>
      </c>
      <c r="P356" s="25">
        <f>N356*D356/12</f>
        <v>17.854149465228485</v>
      </c>
      <c r="Q356" s="25">
        <f>IF(N356&lt;=0.005,0,MIN(N356,O356-P356))</f>
        <v>730.7935778235619</v>
      </c>
      <c r="R356" s="25">
        <f>MAX(0,N356-Q356)</f>
        <v>6657.130338822706</v>
      </c>
    </row>
    <row r="357" spans="2:18" ht="18" customHeight="1">
      <c r="B357" s="21">
        <f>ROW()-5</f>
        <v>352</v>
      </c>
      <c r="C357" s="22">
        <f>EDATE(Hipoteca!$C$7,B357-1)</f>
        <v>57011.0</v>
      </c>
      <c r="D357" s="23">
        <f>IFERROR(LOOKUP(2,1/((Hipoteca!$E$4:$E$9&lt;&gt;"")*(Hipoteca!$E$4:$E$9&lt;=C357)),Hipoteca!$F$4:$F$9),Hipoteca!$C$6)</f>
        <v>0.029</v>
      </c>
      <c r="E357" s="24">
        <f>J356</f>
        <v>0</v>
      </c>
      <c r="F357" s="24">
        <f>IF(E357&lt;=0.005,0,MIN(E357*(1+D357/12),IF(OR(Hipoteca!$C$8="Reducir cuota",D357&lt;&gt;D356),PMT(D357/12,K357,-E357),F356)))</f>
        <v>0</v>
      </c>
      <c r="G357" s="24">
        <f>E357*D357/12</f>
        <v>0</v>
      </c>
      <c r="H357" s="24">
        <f>IF(E357&lt;=0.005,0,MIN(E357,F357-G357))</f>
        <v>0</v>
      </c>
      <c r="I357" s="24">
        <f>MIN(E357-H357,SUMPRODUCT((YEAR(Hipoteca!$H$4:$H$15)=YEAR(C357))*(MONTH(Hipoteca!$H$4:$H$15)=MONTH(C357))*(Hipoteca!$H$4:$H$15&lt;&gt;"")*Hipoteca!$I$4:$I$15))</f>
        <v>0</v>
      </c>
      <c r="J357" s="24">
        <f>MAX(0,E357-H357-I357)</f>
        <v>0</v>
      </c>
      <c r="K357" s="21">
        <f>IF(E357&lt;=0.005,0,IF(Hipoteca!$C$8="Reducir cuota",$K$6-(B357-1),IFERROR(MAX(1,ROUNDUP(NPER(D356/12,-F356,E357),0)),$K$6-(B357-1))))</f>
        <v>0</v>
      </c>
      <c r="L357" s="21">
        <f>YEAR(C357)</f>
        <v>2056</v>
      </c>
      <c r="N357" s="25">
        <f>R356</f>
        <v>6657.130338822706</v>
      </c>
      <c r="O357" s="25">
        <f>IF(N357&lt;=0.005,0,IF(D357&lt;&gt;D356,PMT(D357/12,Hipoteca!$C$5*12-(B357-1),-N357),O356))</f>
        <v>748.6477272887904</v>
      </c>
      <c r="P357" s="25">
        <f>N357*D357/12</f>
        <v>16.088064985488206</v>
      </c>
      <c r="Q357" s="25">
        <f>IF(N357&lt;=0.005,0,MIN(N357,O357-P357))</f>
        <v>732.5596623033022</v>
      </c>
      <c r="R357" s="25">
        <f>MAX(0,N357-Q357)</f>
        <v>5924.570676519404</v>
      </c>
    </row>
    <row r="358" spans="2:18" ht="18" customHeight="1">
      <c r="B358" s="21">
        <f>ROW()-5</f>
        <v>353</v>
      </c>
      <c r="C358" s="22">
        <f>EDATE(Hipoteca!$C$7,B358-1)</f>
        <v>57040.0</v>
      </c>
      <c r="D358" s="23">
        <f>IFERROR(LOOKUP(2,1/((Hipoteca!$E$4:$E$9&lt;&gt;"")*(Hipoteca!$E$4:$E$9&lt;=C358)),Hipoteca!$F$4:$F$9),Hipoteca!$C$6)</f>
        <v>0.029</v>
      </c>
      <c r="E358" s="24">
        <f>J357</f>
        <v>0</v>
      </c>
      <c r="F358" s="24">
        <f>IF(E358&lt;=0.005,0,MIN(E358*(1+D358/12),IF(OR(Hipoteca!$C$8="Reducir cuota",D358&lt;&gt;D357),PMT(D358/12,K358,-E358),F357)))</f>
        <v>0</v>
      </c>
      <c r="G358" s="24">
        <f>E358*D358/12</f>
        <v>0</v>
      </c>
      <c r="H358" s="24">
        <f>IF(E358&lt;=0.005,0,MIN(E358,F358-G358))</f>
        <v>0</v>
      </c>
      <c r="I358" s="24">
        <f>MIN(E358-H358,SUMPRODUCT((YEAR(Hipoteca!$H$4:$H$15)=YEAR(C358))*(MONTH(Hipoteca!$H$4:$H$15)=MONTH(C358))*(Hipoteca!$H$4:$H$15&lt;&gt;"")*Hipoteca!$I$4:$I$15))</f>
        <v>0</v>
      </c>
      <c r="J358" s="24">
        <f>MAX(0,E358-H358-I358)</f>
        <v>0</v>
      </c>
      <c r="K358" s="21">
        <f>IF(E358&lt;=0.005,0,IF(Hipoteca!$C$8="Reducir cuota",$K$6-(B358-1),IFERROR(MAX(1,ROUNDUP(NPER(D357/12,-F357,E358),0)),$K$6-(B358-1))))</f>
        <v>0</v>
      </c>
      <c r="L358" s="21">
        <f>YEAR(C358)</f>
        <v>2056</v>
      </c>
      <c r="N358" s="25">
        <f>R357</f>
        <v>5924.570676519404</v>
      </c>
      <c r="O358" s="25">
        <f>IF(N358&lt;=0.005,0,IF(D358&lt;&gt;D357,PMT(D358/12,Hipoteca!$C$5*12-(B358-1),-N358),O357))</f>
        <v>748.6477272887904</v>
      </c>
      <c r="P358" s="25">
        <f>N358*D358/12</f>
        <v>14.317712468255225</v>
      </c>
      <c r="Q358" s="25">
        <f>IF(N358&lt;=0.005,0,MIN(N358,O358-P358))</f>
        <v>734.3300148205352</v>
      </c>
      <c r="R358" s="25">
        <f>MAX(0,N358-Q358)</f>
        <v>5190.240661698868</v>
      </c>
    </row>
    <row r="359" spans="2:18" ht="18" customHeight="1">
      <c r="B359" s="21">
        <f>ROW()-5</f>
        <v>354</v>
      </c>
      <c r="C359" s="22">
        <f>EDATE(Hipoteca!$C$7,B359-1)</f>
        <v>57071.0</v>
      </c>
      <c r="D359" s="23">
        <f>IFERROR(LOOKUP(2,1/((Hipoteca!$E$4:$E$9&lt;&gt;"")*(Hipoteca!$E$4:$E$9&lt;=C359)),Hipoteca!$F$4:$F$9),Hipoteca!$C$6)</f>
        <v>0.029</v>
      </c>
      <c r="E359" s="24">
        <f>J358</f>
        <v>0</v>
      </c>
      <c r="F359" s="24">
        <f>IF(E359&lt;=0.005,0,MIN(E359*(1+D359/12),IF(OR(Hipoteca!$C$8="Reducir cuota",D359&lt;&gt;D358),PMT(D359/12,K359,-E359),F358)))</f>
        <v>0</v>
      </c>
      <c r="G359" s="24">
        <f>E359*D359/12</f>
        <v>0</v>
      </c>
      <c r="H359" s="24">
        <f>IF(E359&lt;=0.005,0,MIN(E359,F359-G359))</f>
        <v>0</v>
      </c>
      <c r="I359" s="24">
        <f>MIN(E359-H359,SUMPRODUCT((YEAR(Hipoteca!$H$4:$H$15)=YEAR(C359))*(MONTH(Hipoteca!$H$4:$H$15)=MONTH(C359))*(Hipoteca!$H$4:$H$15&lt;&gt;"")*Hipoteca!$I$4:$I$15))</f>
        <v>0</v>
      </c>
      <c r="J359" s="24">
        <f>MAX(0,E359-H359-I359)</f>
        <v>0</v>
      </c>
      <c r="K359" s="21">
        <f>IF(E359&lt;=0.005,0,IF(Hipoteca!$C$8="Reducir cuota",$K$6-(B359-1),IFERROR(MAX(1,ROUNDUP(NPER(D358/12,-F358,E359),0)),$K$6-(B359-1))))</f>
        <v>0</v>
      </c>
      <c r="L359" s="21">
        <f>YEAR(C359)</f>
        <v>2056</v>
      </c>
      <c r="N359" s="25">
        <f>R358</f>
        <v>5190.240661698868</v>
      </c>
      <c r="O359" s="25">
        <f>IF(N359&lt;=0.005,0,IF(D359&lt;&gt;D358,PMT(D359/12,Hipoteca!$C$5*12-(B359-1),-N359),O358))</f>
        <v>748.6477272887904</v>
      </c>
      <c r="P359" s="25">
        <f>N359*D359/12</f>
        <v>12.543081599105598</v>
      </c>
      <c r="Q359" s="25">
        <f>IF(N359&lt;=0.005,0,MIN(N359,O359-P359))</f>
        <v>736.1046456896848</v>
      </c>
      <c r="R359" s="25">
        <f>MAX(0,N359-Q359)</f>
        <v>4454.136016009184</v>
      </c>
    </row>
    <row r="360" spans="2:18" ht="18" customHeight="1">
      <c r="B360" s="21">
        <f>ROW()-5</f>
        <v>355</v>
      </c>
      <c r="C360" s="22">
        <f>EDATE(Hipoteca!$C$7,B360-1)</f>
        <v>57101.0</v>
      </c>
      <c r="D360" s="23">
        <f>IFERROR(LOOKUP(2,1/((Hipoteca!$E$4:$E$9&lt;&gt;"")*(Hipoteca!$E$4:$E$9&lt;=C360)),Hipoteca!$F$4:$F$9),Hipoteca!$C$6)</f>
        <v>0.029</v>
      </c>
      <c r="E360" s="24">
        <f>J359</f>
        <v>0</v>
      </c>
      <c r="F360" s="24">
        <f>IF(E360&lt;=0.005,0,MIN(E360*(1+D360/12),IF(OR(Hipoteca!$C$8="Reducir cuota",D360&lt;&gt;D359),PMT(D360/12,K360,-E360),F359)))</f>
        <v>0</v>
      </c>
      <c r="G360" s="24">
        <f>E360*D360/12</f>
        <v>0</v>
      </c>
      <c r="H360" s="24">
        <f>IF(E360&lt;=0.005,0,MIN(E360,F360-G360))</f>
        <v>0</v>
      </c>
      <c r="I360" s="24">
        <f>MIN(E360-H360,SUMPRODUCT((YEAR(Hipoteca!$H$4:$H$15)=YEAR(C360))*(MONTH(Hipoteca!$H$4:$H$15)=MONTH(C360))*(Hipoteca!$H$4:$H$15&lt;&gt;"")*Hipoteca!$I$4:$I$15))</f>
        <v>0</v>
      </c>
      <c r="J360" s="24">
        <f>MAX(0,E360-H360-I360)</f>
        <v>0</v>
      </c>
      <c r="K360" s="21">
        <f>IF(E360&lt;=0.005,0,IF(Hipoteca!$C$8="Reducir cuota",$K$6-(B360-1),IFERROR(MAX(1,ROUNDUP(NPER(D359/12,-F359,E360),0)),$K$6-(B360-1))))</f>
        <v>0</v>
      </c>
      <c r="L360" s="21">
        <f>YEAR(C360)</f>
        <v>2056</v>
      </c>
      <c r="N360" s="25">
        <f>R359</f>
        <v>4454.136016009184</v>
      </c>
      <c r="O360" s="25">
        <f>IF(N360&lt;=0.005,0,IF(D360&lt;&gt;D359,PMT(D360/12,Hipoteca!$C$5*12-(B360-1),-N360),O359))</f>
        <v>748.6477272887904</v>
      </c>
      <c r="P360" s="25">
        <f>N360*D360/12</f>
        <v>10.76416203868886</v>
      </c>
      <c r="Q360" s="25">
        <f>IF(N360&lt;=0.005,0,MIN(N360,O360-P360))</f>
        <v>737.8835652501016</v>
      </c>
      <c r="R360" s="25">
        <f>MAX(0,N360-Q360)</f>
        <v>3716.252450759082</v>
      </c>
    </row>
    <row r="361" spans="2:18" ht="18" customHeight="1">
      <c r="B361" s="21">
        <f>ROW()-5</f>
        <v>356</v>
      </c>
      <c r="C361" s="22">
        <f>EDATE(Hipoteca!$C$7,B361-1)</f>
        <v>57132.0</v>
      </c>
      <c r="D361" s="23">
        <f>IFERROR(LOOKUP(2,1/((Hipoteca!$E$4:$E$9&lt;&gt;"")*(Hipoteca!$E$4:$E$9&lt;=C361)),Hipoteca!$F$4:$F$9),Hipoteca!$C$6)</f>
        <v>0.029</v>
      </c>
      <c r="E361" s="24">
        <f>J360</f>
        <v>0</v>
      </c>
      <c r="F361" s="24">
        <f>IF(E361&lt;=0.005,0,MIN(E361*(1+D361/12),IF(OR(Hipoteca!$C$8="Reducir cuota",D361&lt;&gt;D360),PMT(D361/12,K361,-E361),F360)))</f>
        <v>0</v>
      </c>
      <c r="G361" s="24">
        <f>E361*D361/12</f>
        <v>0</v>
      </c>
      <c r="H361" s="24">
        <f>IF(E361&lt;=0.005,0,MIN(E361,F361-G361))</f>
        <v>0</v>
      </c>
      <c r="I361" s="24">
        <f>MIN(E361-H361,SUMPRODUCT((YEAR(Hipoteca!$H$4:$H$15)=YEAR(C361))*(MONTH(Hipoteca!$H$4:$H$15)=MONTH(C361))*(Hipoteca!$H$4:$H$15&lt;&gt;"")*Hipoteca!$I$4:$I$15))</f>
        <v>0</v>
      </c>
      <c r="J361" s="24">
        <f>MAX(0,E361-H361-I361)</f>
        <v>0</v>
      </c>
      <c r="K361" s="21">
        <f>IF(E361&lt;=0.005,0,IF(Hipoteca!$C$8="Reducir cuota",$K$6-(B361-1),IFERROR(MAX(1,ROUNDUP(NPER(D360/12,-F360,E361),0)),$K$6-(B361-1))))</f>
        <v>0</v>
      </c>
      <c r="L361" s="21">
        <f>YEAR(C361)</f>
        <v>2056</v>
      </c>
      <c r="N361" s="25">
        <f>R360</f>
        <v>3716.252450759082</v>
      </c>
      <c r="O361" s="25">
        <f>IF(N361&lt;=0.005,0,IF(D361&lt;&gt;D360,PMT(D361/12,Hipoteca!$C$5*12-(B361-1),-N361),O360))</f>
        <v>748.6477272887904</v>
      </c>
      <c r="P361" s="25">
        <f>N361*D361/12</f>
        <v>8.980943422667782</v>
      </c>
      <c r="Q361" s="25">
        <f>IF(N361&lt;=0.005,0,MIN(N361,O361-P361))</f>
        <v>739.6667838661226</v>
      </c>
      <c r="R361" s="25">
        <f>MAX(0,N361-Q361)</f>
        <v>2976.585666892959</v>
      </c>
    </row>
    <row r="362" spans="2:18" ht="18" customHeight="1">
      <c r="B362" s="21">
        <f>ROW()-5</f>
        <v>357</v>
      </c>
      <c r="C362" s="22">
        <f>EDATE(Hipoteca!$C$7,B362-1)</f>
        <v>57162.0</v>
      </c>
      <c r="D362" s="23">
        <f>IFERROR(LOOKUP(2,1/((Hipoteca!$E$4:$E$9&lt;&gt;"")*(Hipoteca!$E$4:$E$9&lt;=C362)),Hipoteca!$F$4:$F$9),Hipoteca!$C$6)</f>
        <v>0.029</v>
      </c>
      <c r="E362" s="24">
        <f>J361</f>
        <v>0</v>
      </c>
      <c r="F362" s="24">
        <f>IF(E362&lt;=0.005,0,MIN(E362*(1+D362/12),IF(OR(Hipoteca!$C$8="Reducir cuota",D362&lt;&gt;D361),PMT(D362/12,K362,-E362),F361)))</f>
        <v>0</v>
      </c>
      <c r="G362" s="24">
        <f>E362*D362/12</f>
        <v>0</v>
      </c>
      <c r="H362" s="24">
        <f>IF(E362&lt;=0.005,0,MIN(E362,F362-G362))</f>
        <v>0</v>
      </c>
      <c r="I362" s="24">
        <f>MIN(E362-H362,SUMPRODUCT((YEAR(Hipoteca!$H$4:$H$15)=YEAR(C362))*(MONTH(Hipoteca!$H$4:$H$15)=MONTH(C362))*(Hipoteca!$H$4:$H$15&lt;&gt;"")*Hipoteca!$I$4:$I$15))</f>
        <v>0</v>
      </c>
      <c r="J362" s="24">
        <f>MAX(0,E362-H362-I362)</f>
        <v>0</v>
      </c>
      <c r="K362" s="21">
        <f>IF(E362&lt;=0.005,0,IF(Hipoteca!$C$8="Reducir cuota",$K$6-(B362-1),IFERROR(MAX(1,ROUNDUP(NPER(D361/12,-F361,E362),0)),$K$6-(B362-1))))</f>
        <v>0</v>
      </c>
      <c r="L362" s="21">
        <f>YEAR(C362)</f>
        <v>2056</v>
      </c>
      <c r="N362" s="25">
        <f>R361</f>
        <v>2976.585666892959</v>
      </c>
      <c r="O362" s="25">
        <f>IF(N362&lt;=0.005,0,IF(D362&lt;&gt;D361,PMT(D362/12,Hipoteca!$C$5*12-(B362-1),-N362),O361))</f>
        <v>748.6477272887904</v>
      </c>
      <c r="P362" s="25">
        <f>N362*D362/12</f>
        <v>7.193415361657984</v>
      </c>
      <c r="Q362" s="25">
        <f>IF(N362&lt;=0.005,0,MIN(N362,O362-P362))</f>
        <v>741.4543119271324</v>
      </c>
      <c r="R362" s="25">
        <f>MAX(0,N362-Q362)</f>
        <v>2235.1313549658266</v>
      </c>
    </row>
    <row r="363" spans="2:18" ht="18" customHeight="1">
      <c r="B363" s="21">
        <f>ROW()-5</f>
        <v>358</v>
      </c>
      <c r="C363" s="22">
        <f>EDATE(Hipoteca!$C$7,B363-1)</f>
        <v>57193.0</v>
      </c>
      <c r="D363" s="23">
        <f>IFERROR(LOOKUP(2,1/((Hipoteca!$E$4:$E$9&lt;&gt;"")*(Hipoteca!$E$4:$E$9&lt;=C363)),Hipoteca!$F$4:$F$9),Hipoteca!$C$6)</f>
        <v>0.029</v>
      </c>
      <c r="E363" s="24">
        <f>J362</f>
        <v>0</v>
      </c>
      <c r="F363" s="24">
        <f>IF(E363&lt;=0.005,0,MIN(E363*(1+D363/12),IF(OR(Hipoteca!$C$8="Reducir cuota",D363&lt;&gt;D362),PMT(D363/12,K363,-E363),F362)))</f>
        <v>0</v>
      </c>
      <c r="G363" s="24">
        <f>E363*D363/12</f>
        <v>0</v>
      </c>
      <c r="H363" s="24">
        <f>IF(E363&lt;=0.005,0,MIN(E363,F363-G363))</f>
        <v>0</v>
      </c>
      <c r="I363" s="24">
        <f>MIN(E363-H363,SUMPRODUCT((YEAR(Hipoteca!$H$4:$H$15)=YEAR(C363))*(MONTH(Hipoteca!$H$4:$H$15)=MONTH(C363))*(Hipoteca!$H$4:$H$15&lt;&gt;"")*Hipoteca!$I$4:$I$15))</f>
        <v>0</v>
      </c>
      <c r="J363" s="24">
        <f>MAX(0,E363-H363-I363)</f>
        <v>0</v>
      </c>
      <c r="K363" s="21">
        <f>IF(E363&lt;=0.005,0,IF(Hipoteca!$C$8="Reducir cuota",$K$6-(B363-1),IFERROR(MAX(1,ROUNDUP(NPER(D362/12,-F362,E363),0)),$K$6-(B363-1))))</f>
        <v>0</v>
      </c>
      <c r="L363" s="21">
        <f>YEAR(C363)</f>
        <v>2056</v>
      </c>
      <c r="N363" s="25">
        <f>R362</f>
        <v>2235.1313549658266</v>
      </c>
      <c r="O363" s="25">
        <f>IF(N363&lt;=0.005,0,IF(D363&lt;&gt;D362,PMT(D363/12,Hipoteca!$C$5*12-(B363-1),-N363),O362))</f>
        <v>748.6477272887904</v>
      </c>
      <c r="P363" s="25">
        <f>N363*D363/12</f>
        <v>5.401567441167415</v>
      </c>
      <c r="Q363" s="25">
        <f>IF(N363&lt;=0.005,0,MIN(N363,O363-P363))</f>
        <v>743.246159847623</v>
      </c>
      <c r="R363" s="25">
        <f>MAX(0,N363-Q363)</f>
        <v>1491.8851951182037</v>
      </c>
    </row>
    <row r="364" spans="2:18" ht="18" customHeight="1">
      <c r="B364" s="21">
        <f>ROW()-5</f>
        <v>359</v>
      </c>
      <c r="C364" s="22">
        <f>EDATE(Hipoteca!$C$7,B364-1)</f>
        <v>57224.0</v>
      </c>
      <c r="D364" s="23">
        <f>IFERROR(LOOKUP(2,1/((Hipoteca!$E$4:$E$9&lt;&gt;"")*(Hipoteca!$E$4:$E$9&lt;=C364)),Hipoteca!$F$4:$F$9),Hipoteca!$C$6)</f>
        <v>0.029</v>
      </c>
      <c r="E364" s="24">
        <f>J363</f>
        <v>0</v>
      </c>
      <c r="F364" s="24">
        <f>IF(E364&lt;=0.005,0,MIN(E364*(1+D364/12),IF(OR(Hipoteca!$C$8="Reducir cuota",D364&lt;&gt;D363),PMT(D364/12,K364,-E364),F363)))</f>
        <v>0</v>
      </c>
      <c r="G364" s="24">
        <f>E364*D364/12</f>
        <v>0</v>
      </c>
      <c r="H364" s="24">
        <f>IF(E364&lt;=0.005,0,MIN(E364,F364-G364))</f>
        <v>0</v>
      </c>
      <c r="I364" s="24">
        <f>MIN(E364-H364,SUMPRODUCT((YEAR(Hipoteca!$H$4:$H$15)=YEAR(C364))*(MONTH(Hipoteca!$H$4:$H$15)=MONTH(C364))*(Hipoteca!$H$4:$H$15&lt;&gt;"")*Hipoteca!$I$4:$I$15))</f>
        <v>0</v>
      </c>
      <c r="J364" s="24">
        <f>MAX(0,E364-H364-I364)</f>
        <v>0</v>
      </c>
      <c r="K364" s="21">
        <f>IF(E364&lt;=0.005,0,IF(Hipoteca!$C$8="Reducir cuota",$K$6-(B364-1),IFERROR(MAX(1,ROUNDUP(NPER(D363/12,-F363,E364),0)),$K$6-(B364-1))))</f>
        <v>0</v>
      </c>
      <c r="L364" s="21">
        <f>YEAR(C364)</f>
        <v>2056</v>
      </c>
      <c r="N364" s="25">
        <f>R363</f>
        <v>1491.8851951182037</v>
      </c>
      <c r="O364" s="25">
        <f>IF(N364&lt;=0.005,0,IF(D364&lt;&gt;D363,PMT(D364/12,Hipoteca!$C$5*12-(B364-1),-N364),O363))</f>
        <v>748.6477272887904</v>
      </c>
      <c r="P364" s="25">
        <f>N364*D364/12</f>
        <v>3.6053892215356593</v>
      </c>
      <c r="Q364" s="25">
        <f>IF(N364&lt;=0.005,0,MIN(N364,O364-P364))</f>
        <v>745.0423380672547</v>
      </c>
      <c r="R364" s="25">
        <f>MAX(0,N364-Q364)</f>
        <v>746.842857050949</v>
      </c>
    </row>
    <row r="365" spans="2:18" ht="18" customHeight="1">
      <c r="B365" s="21">
        <f>ROW()-5</f>
        <v>360</v>
      </c>
      <c r="C365" s="22">
        <f>EDATE(Hipoteca!$C$7,B365-1)</f>
        <v>57254.0</v>
      </c>
      <c r="D365" s="23">
        <f>IFERROR(LOOKUP(2,1/((Hipoteca!$E$4:$E$9&lt;&gt;"")*(Hipoteca!$E$4:$E$9&lt;=C365)),Hipoteca!$F$4:$F$9),Hipoteca!$C$6)</f>
        <v>0.029</v>
      </c>
      <c r="E365" s="24">
        <f>J364</f>
        <v>0</v>
      </c>
      <c r="F365" s="24">
        <f>IF(E365&lt;=0.005,0,MIN(E365*(1+D365/12),IF(OR(Hipoteca!$C$8="Reducir cuota",D365&lt;&gt;D364),PMT(D365/12,K365,-E365),F364)))</f>
        <v>0</v>
      </c>
      <c r="G365" s="24">
        <f>E365*D365/12</f>
        <v>0</v>
      </c>
      <c r="H365" s="24">
        <f>IF(E365&lt;=0.005,0,MIN(E365,F365-G365))</f>
        <v>0</v>
      </c>
      <c r="I365" s="24">
        <f>MIN(E365-H365,SUMPRODUCT((YEAR(Hipoteca!$H$4:$H$15)=YEAR(C365))*(MONTH(Hipoteca!$H$4:$H$15)=MONTH(C365))*(Hipoteca!$H$4:$H$15&lt;&gt;"")*Hipoteca!$I$4:$I$15))</f>
        <v>0</v>
      </c>
      <c r="J365" s="24">
        <f>MAX(0,E365-H365-I365)</f>
        <v>0</v>
      </c>
      <c r="K365" s="21">
        <f>IF(E365&lt;=0.005,0,IF(Hipoteca!$C$8="Reducir cuota",$K$6-(B365-1),IFERROR(MAX(1,ROUNDUP(NPER(D364/12,-F364,E365),0)),$K$6-(B365-1))))</f>
        <v>0</v>
      </c>
      <c r="L365" s="21">
        <f>YEAR(C365)</f>
        <v>2056</v>
      </c>
      <c r="N365" s="25">
        <f>R364</f>
        <v>746.842857050949</v>
      </c>
      <c r="O365" s="25">
        <f>IF(N365&lt;=0.005,0,IF(D365&lt;&gt;D364,PMT(D365/12,Hipoteca!$C$5*12-(B365-1),-N365),O364))</f>
        <v>748.6477272887904</v>
      </c>
      <c r="P365" s="25">
        <f>N365*D365/12</f>
        <v>1.8048702378731267</v>
      </c>
      <c r="Q365" s="25">
        <f>IF(N365&lt;=0.005,0,MIN(N365,O365-P365))</f>
        <v>746.8428570509172</v>
      </c>
      <c r="R365" s="25">
        <f>MAX(0,N365-Q365)</f>
        <v>3.171862772433087e-11</v>
      </c>
    </row>
    <row r="366" spans="2:18" ht="18" customHeight="1">
      <c r="B366" s="21">
        <f>ROW()-5</f>
        <v>361</v>
      </c>
      <c r="C366" s="22">
        <f>EDATE(Hipoteca!$C$7,B366-1)</f>
        <v>57285.0</v>
      </c>
      <c r="D366" s="23">
        <f>IFERROR(LOOKUP(2,1/((Hipoteca!$E$4:$E$9&lt;&gt;"")*(Hipoteca!$E$4:$E$9&lt;=C366)),Hipoteca!$F$4:$F$9),Hipoteca!$C$6)</f>
        <v>0.029</v>
      </c>
      <c r="E366" s="24">
        <f>J365</f>
        <v>0</v>
      </c>
      <c r="F366" s="24">
        <f>IF(E366&lt;=0.005,0,MIN(E366*(1+D366/12),IF(OR(Hipoteca!$C$8="Reducir cuota",D366&lt;&gt;D365),PMT(D366/12,K366,-E366),F365)))</f>
        <v>0</v>
      </c>
      <c r="G366" s="24">
        <f>E366*D366/12</f>
        <v>0</v>
      </c>
      <c r="H366" s="24">
        <f>IF(E366&lt;=0.005,0,MIN(E366,F366-G366))</f>
        <v>0</v>
      </c>
      <c r="I366" s="24">
        <f>MIN(E366-H366,SUMPRODUCT((YEAR(Hipoteca!$H$4:$H$15)=YEAR(C366))*(MONTH(Hipoteca!$H$4:$H$15)=MONTH(C366))*(Hipoteca!$H$4:$H$15&lt;&gt;"")*Hipoteca!$I$4:$I$15))</f>
        <v>0</v>
      </c>
      <c r="J366" s="24">
        <f>MAX(0,E366-H366-I366)</f>
        <v>0</v>
      </c>
      <c r="K366" s="21">
        <f>IF(E366&lt;=0.005,0,IF(Hipoteca!$C$8="Reducir cuota",$K$6-(B366-1),IFERROR(MAX(1,ROUNDUP(NPER(D365/12,-F365,E366),0)),$K$6-(B366-1))))</f>
        <v>0</v>
      </c>
      <c r="L366" s="21">
        <f>YEAR(C366)</f>
        <v>2056</v>
      </c>
      <c r="N366" s="25">
        <f>R365</f>
        <v>3.171862772433087e-11</v>
      </c>
      <c r="O366" s="25">
        <f>IF(N366&lt;=0.005,0,IF(D366&lt;&gt;D365,PMT(D366/12,Hipoteca!$C$5*12-(B366-1),-N366),O365))</f>
        <v>0</v>
      </c>
      <c r="P366" s="25">
        <f>N366*D366/12</f>
        <v>7.665335033379962e-14</v>
      </c>
      <c r="Q366" s="25">
        <f>IF(N366&lt;=0.005,0,MIN(N366,O366-P366))</f>
        <v>0</v>
      </c>
      <c r="R366" s="25">
        <f>MAX(0,N366-Q366)</f>
        <v>3.171862772433087e-11</v>
      </c>
    </row>
    <row r="367" spans="2:18" ht="18" customHeight="1">
      <c r="B367" s="21">
        <f>ROW()-5</f>
        <v>362</v>
      </c>
      <c r="C367" s="22">
        <f>EDATE(Hipoteca!$C$7,B367-1)</f>
        <v>57315.0</v>
      </c>
      <c r="D367" s="23">
        <f>IFERROR(LOOKUP(2,1/((Hipoteca!$E$4:$E$9&lt;&gt;"")*(Hipoteca!$E$4:$E$9&lt;=C367)),Hipoteca!$F$4:$F$9),Hipoteca!$C$6)</f>
        <v>0.029</v>
      </c>
      <c r="E367" s="24">
        <f>J366</f>
        <v>0</v>
      </c>
      <c r="F367" s="24">
        <f>IF(E367&lt;=0.005,0,MIN(E367*(1+D367/12),IF(OR(Hipoteca!$C$8="Reducir cuota",D367&lt;&gt;D366),PMT(D367/12,K367,-E367),F366)))</f>
        <v>0</v>
      </c>
      <c r="G367" s="24">
        <f>E367*D367/12</f>
        <v>0</v>
      </c>
      <c r="H367" s="24">
        <f>IF(E367&lt;=0.005,0,MIN(E367,F367-G367))</f>
        <v>0</v>
      </c>
      <c r="I367" s="24">
        <f>MIN(E367-H367,SUMPRODUCT((YEAR(Hipoteca!$H$4:$H$15)=YEAR(C367))*(MONTH(Hipoteca!$H$4:$H$15)=MONTH(C367))*(Hipoteca!$H$4:$H$15&lt;&gt;"")*Hipoteca!$I$4:$I$15))</f>
        <v>0</v>
      </c>
      <c r="J367" s="24">
        <f>MAX(0,E367-H367-I367)</f>
        <v>0</v>
      </c>
      <c r="K367" s="21">
        <f>IF(E367&lt;=0.005,0,IF(Hipoteca!$C$8="Reducir cuota",$K$6-(B367-1),IFERROR(MAX(1,ROUNDUP(NPER(D366/12,-F366,E367),0)),$K$6-(B367-1))))</f>
        <v>0</v>
      </c>
      <c r="L367" s="21">
        <f>YEAR(C367)</f>
        <v>2056</v>
      </c>
      <c r="N367" s="25">
        <f>R366</f>
        <v>3.171862772433087e-11</v>
      </c>
      <c r="O367" s="25">
        <f>IF(N367&lt;=0.005,0,IF(D367&lt;&gt;D366,PMT(D367/12,Hipoteca!$C$5*12-(B367-1),-N367),O366))</f>
        <v>0</v>
      </c>
      <c r="P367" s="25">
        <f>N367*D367/12</f>
        <v>7.665335033379962e-14</v>
      </c>
      <c r="Q367" s="25">
        <f>IF(N367&lt;=0.005,0,MIN(N367,O367-P367))</f>
        <v>0</v>
      </c>
      <c r="R367" s="25">
        <f>MAX(0,N367-Q367)</f>
        <v>3.171862772433087e-11</v>
      </c>
    </row>
    <row r="368" spans="2:18" ht="18" customHeight="1">
      <c r="B368" s="21">
        <f>ROW()-5</f>
        <v>363</v>
      </c>
      <c r="C368" s="22">
        <f>EDATE(Hipoteca!$C$7,B368-1)</f>
        <v>57346.0</v>
      </c>
      <c r="D368" s="23">
        <f>IFERROR(LOOKUP(2,1/((Hipoteca!$E$4:$E$9&lt;&gt;"")*(Hipoteca!$E$4:$E$9&lt;=C368)),Hipoteca!$F$4:$F$9),Hipoteca!$C$6)</f>
        <v>0.029</v>
      </c>
      <c r="E368" s="24">
        <f>J367</f>
        <v>0</v>
      </c>
      <c r="F368" s="24">
        <f>IF(E368&lt;=0.005,0,MIN(E368*(1+D368/12),IF(OR(Hipoteca!$C$8="Reducir cuota",D368&lt;&gt;D367),PMT(D368/12,K368,-E368),F367)))</f>
        <v>0</v>
      </c>
      <c r="G368" s="24">
        <f>E368*D368/12</f>
        <v>0</v>
      </c>
      <c r="H368" s="24">
        <f>IF(E368&lt;=0.005,0,MIN(E368,F368-G368))</f>
        <v>0</v>
      </c>
      <c r="I368" s="24">
        <f>MIN(E368-H368,SUMPRODUCT((YEAR(Hipoteca!$H$4:$H$15)=YEAR(C368))*(MONTH(Hipoteca!$H$4:$H$15)=MONTH(C368))*(Hipoteca!$H$4:$H$15&lt;&gt;"")*Hipoteca!$I$4:$I$15))</f>
        <v>0</v>
      </c>
      <c r="J368" s="24">
        <f>MAX(0,E368-H368-I368)</f>
        <v>0</v>
      </c>
      <c r="K368" s="21">
        <f>IF(E368&lt;=0.005,0,IF(Hipoteca!$C$8="Reducir cuota",$K$6-(B368-1),IFERROR(MAX(1,ROUNDUP(NPER(D367/12,-F367,E368),0)),$K$6-(B368-1))))</f>
        <v>0</v>
      </c>
      <c r="L368" s="21">
        <f>YEAR(C368)</f>
        <v>2057</v>
      </c>
      <c r="N368" s="25">
        <f>R367</f>
        <v>3.171862772433087e-11</v>
      </c>
      <c r="O368" s="25">
        <f>IF(N368&lt;=0.005,0,IF(D368&lt;&gt;D367,PMT(D368/12,Hipoteca!$C$5*12-(B368-1),-N368),O367))</f>
        <v>0</v>
      </c>
      <c r="P368" s="25">
        <f>N368*D368/12</f>
        <v>7.665335033379962e-14</v>
      </c>
      <c r="Q368" s="25">
        <f>IF(N368&lt;=0.005,0,MIN(N368,O368-P368))</f>
        <v>0</v>
      </c>
      <c r="R368" s="25">
        <f>MAX(0,N368-Q368)</f>
        <v>3.171862772433087e-11</v>
      </c>
    </row>
    <row r="369" spans="2:18" ht="18" customHeight="1">
      <c r="B369" s="21">
        <f>ROW()-5</f>
        <v>364</v>
      </c>
      <c r="C369" s="22">
        <f>EDATE(Hipoteca!$C$7,B369-1)</f>
        <v>57377.0</v>
      </c>
      <c r="D369" s="23">
        <f>IFERROR(LOOKUP(2,1/((Hipoteca!$E$4:$E$9&lt;&gt;"")*(Hipoteca!$E$4:$E$9&lt;=C369)),Hipoteca!$F$4:$F$9),Hipoteca!$C$6)</f>
        <v>0.029</v>
      </c>
      <c r="E369" s="24">
        <f>J368</f>
        <v>0</v>
      </c>
      <c r="F369" s="24">
        <f>IF(E369&lt;=0.005,0,MIN(E369*(1+D369/12),IF(OR(Hipoteca!$C$8="Reducir cuota",D369&lt;&gt;D368),PMT(D369/12,K369,-E369),F368)))</f>
        <v>0</v>
      </c>
      <c r="G369" s="24">
        <f>E369*D369/12</f>
        <v>0</v>
      </c>
      <c r="H369" s="24">
        <f>IF(E369&lt;=0.005,0,MIN(E369,F369-G369))</f>
        <v>0</v>
      </c>
      <c r="I369" s="24">
        <f>MIN(E369-H369,SUMPRODUCT((YEAR(Hipoteca!$H$4:$H$15)=YEAR(C369))*(MONTH(Hipoteca!$H$4:$H$15)=MONTH(C369))*(Hipoteca!$H$4:$H$15&lt;&gt;"")*Hipoteca!$I$4:$I$15))</f>
        <v>0</v>
      </c>
      <c r="J369" s="24">
        <f>MAX(0,E369-H369-I369)</f>
        <v>0</v>
      </c>
      <c r="K369" s="21">
        <f>IF(E369&lt;=0.005,0,IF(Hipoteca!$C$8="Reducir cuota",$K$6-(B369-1),IFERROR(MAX(1,ROUNDUP(NPER(D368/12,-F368,E369),0)),$K$6-(B369-1))))</f>
        <v>0</v>
      </c>
      <c r="L369" s="21">
        <f>YEAR(C369)</f>
        <v>2057</v>
      </c>
      <c r="N369" s="25">
        <f>R368</f>
        <v>3.171862772433087e-11</v>
      </c>
      <c r="O369" s="25">
        <f>IF(N369&lt;=0.005,0,IF(D369&lt;&gt;D368,PMT(D369/12,Hipoteca!$C$5*12-(B369-1),-N369),O368))</f>
        <v>0</v>
      </c>
      <c r="P369" s="25">
        <f>N369*D369/12</f>
        <v>7.665335033379962e-14</v>
      </c>
      <c r="Q369" s="25">
        <f>IF(N369&lt;=0.005,0,MIN(N369,O369-P369))</f>
        <v>0</v>
      </c>
      <c r="R369" s="25">
        <f>MAX(0,N369-Q369)</f>
        <v>3.171862772433087e-11</v>
      </c>
    </row>
    <row r="370" spans="2:18" ht="18" customHeight="1">
      <c r="B370" s="21">
        <f>ROW()-5</f>
        <v>365</v>
      </c>
      <c r="C370" s="22">
        <f>EDATE(Hipoteca!$C$7,B370-1)</f>
        <v>57405.0</v>
      </c>
      <c r="D370" s="23">
        <f>IFERROR(LOOKUP(2,1/((Hipoteca!$E$4:$E$9&lt;&gt;"")*(Hipoteca!$E$4:$E$9&lt;=C370)),Hipoteca!$F$4:$F$9),Hipoteca!$C$6)</f>
        <v>0.029</v>
      </c>
      <c r="E370" s="24">
        <f>J369</f>
        <v>0</v>
      </c>
      <c r="F370" s="24">
        <f>IF(E370&lt;=0.005,0,MIN(E370*(1+D370/12),IF(OR(Hipoteca!$C$8="Reducir cuota",D370&lt;&gt;D369),PMT(D370/12,K370,-E370),F369)))</f>
        <v>0</v>
      </c>
      <c r="G370" s="24">
        <f>E370*D370/12</f>
        <v>0</v>
      </c>
      <c r="H370" s="24">
        <f>IF(E370&lt;=0.005,0,MIN(E370,F370-G370))</f>
        <v>0</v>
      </c>
      <c r="I370" s="24">
        <f>MIN(E370-H370,SUMPRODUCT((YEAR(Hipoteca!$H$4:$H$15)=YEAR(C370))*(MONTH(Hipoteca!$H$4:$H$15)=MONTH(C370))*(Hipoteca!$H$4:$H$15&lt;&gt;"")*Hipoteca!$I$4:$I$15))</f>
        <v>0</v>
      </c>
      <c r="J370" s="24">
        <f>MAX(0,E370-H370-I370)</f>
        <v>0</v>
      </c>
      <c r="K370" s="21">
        <f>IF(E370&lt;=0.005,0,IF(Hipoteca!$C$8="Reducir cuota",$K$6-(B370-1),IFERROR(MAX(1,ROUNDUP(NPER(D369/12,-F369,E370),0)),$K$6-(B370-1))))</f>
        <v>0</v>
      </c>
      <c r="L370" s="21">
        <f>YEAR(C370)</f>
        <v>2057</v>
      </c>
      <c r="N370" s="25">
        <f>R369</f>
        <v>3.171862772433087e-11</v>
      </c>
      <c r="O370" s="25">
        <f>IF(N370&lt;=0.005,0,IF(D370&lt;&gt;D369,PMT(D370/12,Hipoteca!$C$5*12-(B370-1),-N370),O369))</f>
        <v>0</v>
      </c>
      <c r="P370" s="25">
        <f>N370*D370/12</f>
        <v>7.665335033379962e-14</v>
      </c>
      <c r="Q370" s="25">
        <f>IF(N370&lt;=0.005,0,MIN(N370,O370-P370))</f>
        <v>0</v>
      </c>
      <c r="R370" s="25">
        <f>MAX(0,N370-Q370)</f>
        <v>3.171862772433087e-11</v>
      </c>
    </row>
    <row r="371" spans="2:18" ht="18" customHeight="1">
      <c r="B371" s="21">
        <f>ROW()-5</f>
        <v>366</v>
      </c>
      <c r="C371" s="22">
        <f>EDATE(Hipoteca!$C$7,B371-1)</f>
        <v>57436.0</v>
      </c>
      <c r="D371" s="23">
        <f>IFERROR(LOOKUP(2,1/((Hipoteca!$E$4:$E$9&lt;&gt;"")*(Hipoteca!$E$4:$E$9&lt;=C371)),Hipoteca!$F$4:$F$9),Hipoteca!$C$6)</f>
        <v>0.029</v>
      </c>
      <c r="E371" s="24">
        <f>J370</f>
        <v>0</v>
      </c>
      <c r="F371" s="24">
        <f>IF(E371&lt;=0.005,0,MIN(E371*(1+D371/12),IF(OR(Hipoteca!$C$8="Reducir cuota",D371&lt;&gt;D370),PMT(D371/12,K371,-E371),F370)))</f>
        <v>0</v>
      </c>
      <c r="G371" s="24">
        <f>E371*D371/12</f>
        <v>0</v>
      </c>
      <c r="H371" s="24">
        <f>IF(E371&lt;=0.005,0,MIN(E371,F371-G371))</f>
        <v>0</v>
      </c>
      <c r="I371" s="24">
        <f>MIN(E371-H371,SUMPRODUCT((YEAR(Hipoteca!$H$4:$H$15)=YEAR(C371))*(MONTH(Hipoteca!$H$4:$H$15)=MONTH(C371))*(Hipoteca!$H$4:$H$15&lt;&gt;"")*Hipoteca!$I$4:$I$15))</f>
        <v>0</v>
      </c>
      <c r="J371" s="24">
        <f>MAX(0,E371-H371-I371)</f>
        <v>0</v>
      </c>
      <c r="K371" s="21">
        <f>IF(E371&lt;=0.005,0,IF(Hipoteca!$C$8="Reducir cuota",$K$6-(B371-1),IFERROR(MAX(1,ROUNDUP(NPER(D370/12,-F370,E371),0)),$K$6-(B371-1))))</f>
        <v>0</v>
      </c>
      <c r="L371" s="21">
        <f>YEAR(C371)</f>
        <v>2057</v>
      </c>
      <c r="N371" s="25">
        <f>R370</f>
        <v>3.171862772433087e-11</v>
      </c>
      <c r="O371" s="25">
        <f>IF(N371&lt;=0.005,0,IF(D371&lt;&gt;D370,PMT(D371/12,Hipoteca!$C$5*12-(B371-1),-N371),O370))</f>
        <v>0</v>
      </c>
      <c r="P371" s="25">
        <f>N371*D371/12</f>
        <v>7.665335033379962e-14</v>
      </c>
      <c r="Q371" s="25">
        <f>IF(N371&lt;=0.005,0,MIN(N371,O371-P371))</f>
        <v>0</v>
      </c>
      <c r="R371" s="25">
        <f>MAX(0,N371-Q371)</f>
        <v>3.171862772433087e-11</v>
      </c>
    </row>
    <row r="372" spans="2:18" ht="18" customHeight="1">
      <c r="B372" s="21">
        <f>ROW()-5</f>
        <v>367</v>
      </c>
      <c r="C372" s="22">
        <f>EDATE(Hipoteca!$C$7,B372-1)</f>
        <v>57466.0</v>
      </c>
      <c r="D372" s="23">
        <f>IFERROR(LOOKUP(2,1/((Hipoteca!$E$4:$E$9&lt;&gt;"")*(Hipoteca!$E$4:$E$9&lt;=C372)),Hipoteca!$F$4:$F$9),Hipoteca!$C$6)</f>
        <v>0.029</v>
      </c>
      <c r="E372" s="24">
        <f>J371</f>
        <v>0</v>
      </c>
      <c r="F372" s="24">
        <f>IF(E372&lt;=0.005,0,MIN(E372*(1+D372/12),IF(OR(Hipoteca!$C$8="Reducir cuota",D372&lt;&gt;D371),PMT(D372/12,K372,-E372),F371)))</f>
        <v>0</v>
      </c>
      <c r="G372" s="24">
        <f>E372*D372/12</f>
        <v>0</v>
      </c>
      <c r="H372" s="24">
        <f>IF(E372&lt;=0.005,0,MIN(E372,F372-G372))</f>
        <v>0</v>
      </c>
      <c r="I372" s="24">
        <f>MIN(E372-H372,SUMPRODUCT((YEAR(Hipoteca!$H$4:$H$15)=YEAR(C372))*(MONTH(Hipoteca!$H$4:$H$15)=MONTH(C372))*(Hipoteca!$H$4:$H$15&lt;&gt;"")*Hipoteca!$I$4:$I$15))</f>
        <v>0</v>
      </c>
      <c r="J372" s="24">
        <f>MAX(0,E372-H372-I372)</f>
        <v>0</v>
      </c>
      <c r="K372" s="21">
        <f>IF(E372&lt;=0.005,0,IF(Hipoteca!$C$8="Reducir cuota",$K$6-(B372-1),IFERROR(MAX(1,ROUNDUP(NPER(D371/12,-F371,E372),0)),$K$6-(B372-1))))</f>
        <v>0</v>
      </c>
      <c r="L372" s="21">
        <f>YEAR(C372)</f>
        <v>2057</v>
      </c>
      <c r="N372" s="25">
        <f>R371</f>
        <v>3.171862772433087e-11</v>
      </c>
      <c r="O372" s="25">
        <f>IF(N372&lt;=0.005,0,IF(D372&lt;&gt;D371,PMT(D372/12,Hipoteca!$C$5*12-(B372-1),-N372),O371))</f>
        <v>0</v>
      </c>
      <c r="P372" s="25">
        <f>N372*D372/12</f>
        <v>7.665335033379962e-14</v>
      </c>
      <c r="Q372" s="25">
        <f>IF(N372&lt;=0.005,0,MIN(N372,O372-P372))</f>
        <v>0</v>
      </c>
      <c r="R372" s="25">
        <f>MAX(0,N372-Q372)</f>
        <v>3.171862772433087e-11</v>
      </c>
    </row>
    <row r="373" spans="2:18" ht="18" customHeight="1">
      <c r="B373" s="21">
        <f>ROW()-5</f>
        <v>368</v>
      </c>
      <c r="C373" s="22">
        <f>EDATE(Hipoteca!$C$7,B373-1)</f>
        <v>57497.0</v>
      </c>
      <c r="D373" s="23">
        <f>IFERROR(LOOKUP(2,1/((Hipoteca!$E$4:$E$9&lt;&gt;"")*(Hipoteca!$E$4:$E$9&lt;=C373)),Hipoteca!$F$4:$F$9),Hipoteca!$C$6)</f>
        <v>0.029</v>
      </c>
      <c r="E373" s="24">
        <f>J372</f>
        <v>0</v>
      </c>
      <c r="F373" s="24">
        <f>IF(E373&lt;=0.005,0,MIN(E373*(1+D373/12),IF(OR(Hipoteca!$C$8="Reducir cuota",D373&lt;&gt;D372),PMT(D373/12,K373,-E373),F372)))</f>
        <v>0</v>
      </c>
      <c r="G373" s="24">
        <f>E373*D373/12</f>
        <v>0</v>
      </c>
      <c r="H373" s="24">
        <f>IF(E373&lt;=0.005,0,MIN(E373,F373-G373))</f>
        <v>0</v>
      </c>
      <c r="I373" s="24">
        <f>MIN(E373-H373,SUMPRODUCT((YEAR(Hipoteca!$H$4:$H$15)=YEAR(C373))*(MONTH(Hipoteca!$H$4:$H$15)=MONTH(C373))*(Hipoteca!$H$4:$H$15&lt;&gt;"")*Hipoteca!$I$4:$I$15))</f>
        <v>0</v>
      </c>
      <c r="J373" s="24">
        <f>MAX(0,E373-H373-I373)</f>
        <v>0</v>
      </c>
      <c r="K373" s="21">
        <f>IF(E373&lt;=0.005,0,IF(Hipoteca!$C$8="Reducir cuota",$K$6-(B373-1),IFERROR(MAX(1,ROUNDUP(NPER(D372/12,-F372,E373),0)),$K$6-(B373-1))))</f>
        <v>0</v>
      </c>
      <c r="L373" s="21">
        <f>YEAR(C373)</f>
        <v>2057</v>
      </c>
      <c r="N373" s="25">
        <f>R372</f>
        <v>3.171862772433087e-11</v>
      </c>
      <c r="O373" s="25">
        <f>IF(N373&lt;=0.005,0,IF(D373&lt;&gt;D372,PMT(D373/12,Hipoteca!$C$5*12-(B373-1),-N373),O372))</f>
        <v>0</v>
      </c>
      <c r="P373" s="25">
        <f>N373*D373/12</f>
        <v>7.665335033379962e-14</v>
      </c>
      <c r="Q373" s="25">
        <f>IF(N373&lt;=0.005,0,MIN(N373,O373-P373))</f>
        <v>0</v>
      </c>
      <c r="R373" s="25">
        <f>MAX(0,N373-Q373)</f>
        <v>3.171862772433087e-11</v>
      </c>
    </row>
    <row r="374" spans="2:18" ht="18" customHeight="1">
      <c r="B374" s="21">
        <f>ROW()-5</f>
        <v>369</v>
      </c>
      <c r="C374" s="22">
        <f>EDATE(Hipoteca!$C$7,B374-1)</f>
        <v>57527.0</v>
      </c>
      <c r="D374" s="23">
        <f>IFERROR(LOOKUP(2,1/((Hipoteca!$E$4:$E$9&lt;&gt;"")*(Hipoteca!$E$4:$E$9&lt;=C374)),Hipoteca!$F$4:$F$9),Hipoteca!$C$6)</f>
        <v>0.029</v>
      </c>
      <c r="E374" s="24">
        <f>J373</f>
        <v>0</v>
      </c>
      <c r="F374" s="24">
        <f>IF(E374&lt;=0.005,0,MIN(E374*(1+D374/12),IF(OR(Hipoteca!$C$8="Reducir cuota",D374&lt;&gt;D373),PMT(D374/12,K374,-E374),F373)))</f>
        <v>0</v>
      </c>
      <c r="G374" s="24">
        <f>E374*D374/12</f>
        <v>0</v>
      </c>
      <c r="H374" s="24">
        <f>IF(E374&lt;=0.005,0,MIN(E374,F374-G374))</f>
        <v>0</v>
      </c>
      <c r="I374" s="24">
        <f>MIN(E374-H374,SUMPRODUCT((YEAR(Hipoteca!$H$4:$H$15)=YEAR(C374))*(MONTH(Hipoteca!$H$4:$H$15)=MONTH(C374))*(Hipoteca!$H$4:$H$15&lt;&gt;"")*Hipoteca!$I$4:$I$15))</f>
        <v>0</v>
      </c>
      <c r="J374" s="24">
        <f>MAX(0,E374-H374-I374)</f>
        <v>0</v>
      </c>
      <c r="K374" s="21">
        <f>IF(E374&lt;=0.005,0,IF(Hipoteca!$C$8="Reducir cuota",$K$6-(B374-1),IFERROR(MAX(1,ROUNDUP(NPER(D373/12,-F373,E374),0)),$K$6-(B374-1))))</f>
        <v>0</v>
      </c>
      <c r="L374" s="21">
        <f>YEAR(C374)</f>
        <v>2057</v>
      </c>
      <c r="N374" s="25">
        <f>R373</f>
        <v>3.171862772433087e-11</v>
      </c>
      <c r="O374" s="25">
        <f>IF(N374&lt;=0.005,0,IF(D374&lt;&gt;D373,PMT(D374/12,Hipoteca!$C$5*12-(B374-1),-N374),O373))</f>
        <v>0</v>
      </c>
      <c r="P374" s="25">
        <f>N374*D374/12</f>
        <v>7.665335033379962e-14</v>
      </c>
      <c r="Q374" s="25">
        <f>IF(N374&lt;=0.005,0,MIN(N374,O374-P374))</f>
        <v>0</v>
      </c>
      <c r="R374" s="25">
        <f>MAX(0,N374-Q374)</f>
        <v>3.171862772433087e-11</v>
      </c>
    </row>
    <row r="375" spans="2:18" ht="18" customHeight="1">
      <c r="B375" s="21">
        <f>ROW()-5</f>
        <v>370</v>
      </c>
      <c r="C375" s="22">
        <f>EDATE(Hipoteca!$C$7,B375-1)</f>
        <v>57558.0</v>
      </c>
      <c r="D375" s="23">
        <f>IFERROR(LOOKUP(2,1/((Hipoteca!$E$4:$E$9&lt;&gt;"")*(Hipoteca!$E$4:$E$9&lt;=C375)),Hipoteca!$F$4:$F$9),Hipoteca!$C$6)</f>
        <v>0.029</v>
      </c>
      <c r="E375" s="24">
        <f>J374</f>
        <v>0</v>
      </c>
      <c r="F375" s="24">
        <f>IF(E375&lt;=0.005,0,MIN(E375*(1+D375/12),IF(OR(Hipoteca!$C$8="Reducir cuota",D375&lt;&gt;D374),PMT(D375/12,K375,-E375),F374)))</f>
        <v>0</v>
      </c>
      <c r="G375" s="24">
        <f>E375*D375/12</f>
        <v>0</v>
      </c>
      <c r="H375" s="24">
        <f>IF(E375&lt;=0.005,0,MIN(E375,F375-G375))</f>
        <v>0</v>
      </c>
      <c r="I375" s="24">
        <f>MIN(E375-H375,SUMPRODUCT((YEAR(Hipoteca!$H$4:$H$15)=YEAR(C375))*(MONTH(Hipoteca!$H$4:$H$15)=MONTH(C375))*(Hipoteca!$H$4:$H$15&lt;&gt;"")*Hipoteca!$I$4:$I$15))</f>
        <v>0</v>
      </c>
      <c r="J375" s="24">
        <f>MAX(0,E375-H375-I375)</f>
        <v>0</v>
      </c>
      <c r="K375" s="21">
        <f>IF(E375&lt;=0.005,0,IF(Hipoteca!$C$8="Reducir cuota",$K$6-(B375-1),IFERROR(MAX(1,ROUNDUP(NPER(D374/12,-F374,E375),0)),$K$6-(B375-1))))</f>
        <v>0</v>
      </c>
      <c r="L375" s="21">
        <f>YEAR(C375)</f>
        <v>2057</v>
      </c>
      <c r="N375" s="25">
        <f>R374</f>
        <v>3.171862772433087e-11</v>
      </c>
      <c r="O375" s="25">
        <f>IF(N375&lt;=0.005,0,IF(D375&lt;&gt;D374,PMT(D375/12,Hipoteca!$C$5*12-(B375-1),-N375),O374))</f>
        <v>0</v>
      </c>
      <c r="P375" s="25">
        <f>N375*D375/12</f>
        <v>7.665335033379962e-14</v>
      </c>
      <c r="Q375" s="25">
        <f>IF(N375&lt;=0.005,0,MIN(N375,O375-P375))</f>
        <v>0</v>
      </c>
      <c r="R375" s="25">
        <f>MAX(0,N375-Q375)</f>
        <v>3.171862772433087e-11</v>
      </c>
    </row>
    <row r="376" spans="2:18" ht="18" customHeight="1">
      <c r="B376" s="21">
        <f>ROW()-5</f>
        <v>371</v>
      </c>
      <c r="C376" s="22">
        <f>EDATE(Hipoteca!$C$7,B376-1)</f>
        <v>57589.0</v>
      </c>
      <c r="D376" s="23">
        <f>IFERROR(LOOKUP(2,1/((Hipoteca!$E$4:$E$9&lt;&gt;"")*(Hipoteca!$E$4:$E$9&lt;=C376)),Hipoteca!$F$4:$F$9),Hipoteca!$C$6)</f>
        <v>0.029</v>
      </c>
      <c r="E376" s="24">
        <f>J375</f>
        <v>0</v>
      </c>
      <c r="F376" s="24">
        <f>IF(E376&lt;=0.005,0,MIN(E376*(1+D376/12),IF(OR(Hipoteca!$C$8="Reducir cuota",D376&lt;&gt;D375),PMT(D376/12,K376,-E376),F375)))</f>
        <v>0</v>
      </c>
      <c r="G376" s="24">
        <f>E376*D376/12</f>
        <v>0</v>
      </c>
      <c r="H376" s="24">
        <f>IF(E376&lt;=0.005,0,MIN(E376,F376-G376))</f>
        <v>0</v>
      </c>
      <c r="I376" s="24">
        <f>MIN(E376-H376,SUMPRODUCT((YEAR(Hipoteca!$H$4:$H$15)=YEAR(C376))*(MONTH(Hipoteca!$H$4:$H$15)=MONTH(C376))*(Hipoteca!$H$4:$H$15&lt;&gt;"")*Hipoteca!$I$4:$I$15))</f>
        <v>0</v>
      </c>
      <c r="J376" s="24">
        <f>MAX(0,E376-H376-I376)</f>
        <v>0</v>
      </c>
      <c r="K376" s="21">
        <f>IF(E376&lt;=0.005,0,IF(Hipoteca!$C$8="Reducir cuota",$K$6-(B376-1),IFERROR(MAX(1,ROUNDUP(NPER(D375/12,-F375,E376),0)),$K$6-(B376-1))))</f>
        <v>0</v>
      </c>
      <c r="L376" s="21">
        <f>YEAR(C376)</f>
        <v>2057</v>
      </c>
      <c r="N376" s="25">
        <f>R375</f>
        <v>3.171862772433087e-11</v>
      </c>
      <c r="O376" s="25">
        <f>IF(N376&lt;=0.005,0,IF(D376&lt;&gt;D375,PMT(D376/12,Hipoteca!$C$5*12-(B376-1),-N376),O375))</f>
        <v>0</v>
      </c>
      <c r="P376" s="25">
        <f>N376*D376/12</f>
        <v>7.665335033379962e-14</v>
      </c>
      <c r="Q376" s="25">
        <f>IF(N376&lt;=0.005,0,MIN(N376,O376-P376))</f>
        <v>0</v>
      </c>
      <c r="R376" s="25">
        <f>MAX(0,N376-Q376)</f>
        <v>3.171862772433087e-11</v>
      </c>
    </row>
    <row r="377" spans="2:18" ht="18" customHeight="1">
      <c r="B377" s="21">
        <f>ROW()-5</f>
        <v>372</v>
      </c>
      <c r="C377" s="22">
        <f>EDATE(Hipoteca!$C$7,B377-1)</f>
        <v>57619.0</v>
      </c>
      <c r="D377" s="23">
        <f>IFERROR(LOOKUP(2,1/((Hipoteca!$E$4:$E$9&lt;&gt;"")*(Hipoteca!$E$4:$E$9&lt;=C377)),Hipoteca!$F$4:$F$9),Hipoteca!$C$6)</f>
        <v>0.029</v>
      </c>
      <c r="E377" s="24">
        <f>J376</f>
        <v>0</v>
      </c>
      <c r="F377" s="24">
        <f>IF(E377&lt;=0.005,0,MIN(E377*(1+D377/12),IF(OR(Hipoteca!$C$8="Reducir cuota",D377&lt;&gt;D376),PMT(D377/12,K377,-E377),F376)))</f>
        <v>0</v>
      </c>
      <c r="G377" s="24">
        <f>E377*D377/12</f>
        <v>0</v>
      </c>
      <c r="H377" s="24">
        <f>IF(E377&lt;=0.005,0,MIN(E377,F377-G377))</f>
        <v>0</v>
      </c>
      <c r="I377" s="24">
        <f>MIN(E377-H377,SUMPRODUCT((YEAR(Hipoteca!$H$4:$H$15)=YEAR(C377))*(MONTH(Hipoteca!$H$4:$H$15)=MONTH(C377))*(Hipoteca!$H$4:$H$15&lt;&gt;"")*Hipoteca!$I$4:$I$15))</f>
        <v>0</v>
      </c>
      <c r="J377" s="24">
        <f>MAX(0,E377-H377-I377)</f>
        <v>0</v>
      </c>
      <c r="K377" s="21">
        <f>IF(E377&lt;=0.005,0,IF(Hipoteca!$C$8="Reducir cuota",$K$6-(B377-1),IFERROR(MAX(1,ROUNDUP(NPER(D376/12,-F376,E377),0)),$K$6-(B377-1))))</f>
        <v>0</v>
      </c>
      <c r="L377" s="21">
        <f>YEAR(C377)</f>
        <v>2057</v>
      </c>
      <c r="N377" s="25">
        <f>R376</f>
        <v>3.171862772433087e-11</v>
      </c>
      <c r="O377" s="25">
        <f>IF(N377&lt;=0.005,0,IF(D377&lt;&gt;D376,PMT(D377/12,Hipoteca!$C$5*12-(B377-1),-N377),O376))</f>
        <v>0</v>
      </c>
      <c r="P377" s="25">
        <f>N377*D377/12</f>
        <v>7.665335033379962e-14</v>
      </c>
      <c r="Q377" s="25">
        <f>IF(N377&lt;=0.005,0,MIN(N377,O377-P377))</f>
        <v>0</v>
      </c>
      <c r="R377" s="25">
        <f>MAX(0,N377-Q377)</f>
        <v>3.171862772433087e-11</v>
      </c>
    </row>
    <row r="378" spans="2:18" ht="18" customHeight="1">
      <c r="B378" s="21">
        <f>ROW()-5</f>
        <v>373</v>
      </c>
      <c r="C378" s="22">
        <f>EDATE(Hipoteca!$C$7,B378-1)</f>
        <v>57650.0</v>
      </c>
      <c r="D378" s="23">
        <f>IFERROR(LOOKUP(2,1/((Hipoteca!$E$4:$E$9&lt;&gt;"")*(Hipoteca!$E$4:$E$9&lt;=C378)),Hipoteca!$F$4:$F$9),Hipoteca!$C$6)</f>
        <v>0.029</v>
      </c>
      <c r="E378" s="24">
        <f>J377</f>
        <v>0</v>
      </c>
      <c r="F378" s="24">
        <f>IF(E378&lt;=0.005,0,MIN(E378*(1+D378/12),IF(OR(Hipoteca!$C$8="Reducir cuota",D378&lt;&gt;D377),PMT(D378/12,K378,-E378),F377)))</f>
        <v>0</v>
      </c>
      <c r="G378" s="24">
        <f>E378*D378/12</f>
        <v>0</v>
      </c>
      <c r="H378" s="24">
        <f>IF(E378&lt;=0.005,0,MIN(E378,F378-G378))</f>
        <v>0</v>
      </c>
      <c r="I378" s="24">
        <f>MIN(E378-H378,SUMPRODUCT((YEAR(Hipoteca!$H$4:$H$15)=YEAR(C378))*(MONTH(Hipoteca!$H$4:$H$15)=MONTH(C378))*(Hipoteca!$H$4:$H$15&lt;&gt;"")*Hipoteca!$I$4:$I$15))</f>
        <v>0</v>
      </c>
      <c r="J378" s="24">
        <f>MAX(0,E378-H378-I378)</f>
        <v>0</v>
      </c>
      <c r="K378" s="21">
        <f>IF(E378&lt;=0.005,0,IF(Hipoteca!$C$8="Reducir cuota",$K$6-(B378-1),IFERROR(MAX(1,ROUNDUP(NPER(D377/12,-F377,E378),0)),$K$6-(B378-1))))</f>
        <v>0</v>
      </c>
      <c r="L378" s="21">
        <f>YEAR(C378)</f>
        <v>2057</v>
      </c>
      <c r="N378" s="25">
        <f>R377</f>
        <v>3.171862772433087e-11</v>
      </c>
      <c r="O378" s="25">
        <f>IF(N378&lt;=0.005,0,IF(D378&lt;&gt;D377,PMT(D378/12,Hipoteca!$C$5*12-(B378-1),-N378),O377))</f>
        <v>0</v>
      </c>
      <c r="P378" s="25">
        <f>N378*D378/12</f>
        <v>7.665335033379962e-14</v>
      </c>
      <c r="Q378" s="25">
        <f>IF(N378&lt;=0.005,0,MIN(N378,O378-P378))</f>
        <v>0</v>
      </c>
      <c r="R378" s="25">
        <f>MAX(0,N378-Q378)</f>
        <v>3.171862772433087e-11</v>
      </c>
    </row>
    <row r="379" spans="2:18" ht="18" customHeight="1">
      <c r="B379" s="21">
        <f>ROW()-5</f>
        <v>374</v>
      </c>
      <c r="C379" s="22">
        <f>EDATE(Hipoteca!$C$7,B379-1)</f>
        <v>57680.0</v>
      </c>
      <c r="D379" s="23">
        <f>IFERROR(LOOKUP(2,1/((Hipoteca!$E$4:$E$9&lt;&gt;"")*(Hipoteca!$E$4:$E$9&lt;=C379)),Hipoteca!$F$4:$F$9),Hipoteca!$C$6)</f>
        <v>0.029</v>
      </c>
      <c r="E379" s="24">
        <f>J378</f>
        <v>0</v>
      </c>
      <c r="F379" s="24">
        <f>IF(E379&lt;=0.005,0,MIN(E379*(1+D379/12),IF(OR(Hipoteca!$C$8="Reducir cuota",D379&lt;&gt;D378),PMT(D379/12,K379,-E379),F378)))</f>
        <v>0</v>
      </c>
      <c r="G379" s="24">
        <f>E379*D379/12</f>
        <v>0</v>
      </c>
      <c r="H379" s="24">
        <f>IF(E379&lt;=0.005,0,MIN(E379,F379-G379))</f>
        <v>0</v>
      </c>
      <c r="I379" s="24">
        <f>MIN(E379-H379,SUMPRODUCT((YEAR(Hipoteca!$H$4:$H$15)=YEAR(C379))*(MONTH(Hipoteca!$H$4:$H$15)=MONTH(C379))*(Hipoteca!$H$4:$H$15&lt;&gt;"")*Hipoteca!$I$4:$I$15))</f>
        <v>0</v>
      </c>
      <c r="J379" s="24">
        <f>MAX(0,E379-H379-I379)</f>
        <v>0</v>
      </c>
      <c r="K379" s="21">
        <f>IF(E379&lt;=0.005,0,IF(Hipoteca!$C$8="Reducir cuota",$K$6-(B379-1),IFERROR(MAX(1,ROUNDUP(NPER(D378/12,-F378,E379),0)),$K$6-(B379-1))))</f>
        <v>0</v>
      </c>
      <c r="L379" s="21">
        <f>YEAR(C379)</f>
        <v>2057</v>
      </c>
      <c r="N379" s="25">
        <f>R378</f>
        <v>3.171862772433087e-11</v>
      </c>
      <c r="O379" s="25">
        <f>IF(N379&lt;=0.005,0,IF(D379&lt;&gt;D378,PMT(D379/12,Hipoteca!$C$5*12-(B379-1),-N379),O378))</f>
        <v>0</v>
      </c>
      <c r="P379" s="25">
        <f>N379*D379/12</f>
        <v>7.665335033379962e-14</v>
      </c>
      <c r="Q379" s="25">
        <f>IF(N379&lt;=0.005,0,MIN(N379,O379-P379))</f>
        <v>0</v>
      </c>
      <c r="R379" s="25">
        <f>MAX(0,N379-Q379)</f>
        <v>3.171862772433087e-11</v>
      </c>
    </row>
    <row r="380" spans="2:18" ht="18" customHeight="1">
      <c r="B380" s="21">
        <f>ROW()-5</f>
        <v>375</v>
      </c>
      <c r="C380" s="22">
        <f>EDATE(Hipoteca!$C$7,B380-1)</f>
        <v>57711.0</v>
      </c>
      <c r="D380" s="23">
        <f>IFERROR(LOOKUP(2,1/((Hipoteca!$E$4:$E$9&lt;&gt;"")*(Hipoteca!$E$4:$E$9&lt;=C380)),Hipoteca!$F$4:$F$9),Hipoteca!$C$6)</f>
        <v>0.029</v>
      </c>
      <c r="E380" s="24">
        <f>J379</f>
        <v>0</v>
      </c>
      <c r="F380" s="24">
        <f>IF(E380&lt;=0.005,0,MIN(E380*(1+D380/12),IF(OR(Hipoteca!$C$8="Reducir cuota",D380&lt;&gt;D379),PMT(D380/12,K380,-E380),F379)))</f>
        <v>0</v>
      </c>
      <c r="G380" s="24">
        <f>E380*D380/12</f>
        <v>0</v>
      </c>
      <c r="H380" s="24">
        <f>IF(E380&lt;=0.005,0,MIN(E380,F380-G380))</f>
        <v>0</v>
      </c>
      <c r="I380" s="24">
        <f>MIN(E380-H380,SUMPRODUCT((YEAR(Hipoteca!$H$4:$H$15)=YEAR(C380))*(MONTH(Hipoteca!$H$4:$H$15)=MONTH(C380))*(Hipoteca!$H$4:$H$15&lt;&gt;"")*Hipoteca!$I$4:$I$15))</f>
        <v>0</v>
      </c>
      <c r="J380" s="24">
        <f>MAX(0,E380-H380-I380)</f>
        <v>0</v>
      </c>
      <c r="K380" s="21">
        <f>IF(E380&lt;=0.005,0,IF(Hipoteca!$C$8="Reducir cuota",$K$6-(B380-1),IFERROR(MAX(1,ROUNDUP(NPER(D379/12,-F379,E380),0)),$K$6-(B380-1))))</f>
        <v>0</v>
      </c>
      <c r="L380" s="21">
        <f>YEAR(C380)</f>
        <v>2058</v>
      </c>
      <c r="N380" s="25">
        <f>R379</f>
        <v>3.171862772433087e-11</v>
      </c>
      <c r="O380" s="25">
        <f>IF(N380&lt;=0.005,0,IF(D380&lt;&gt;D379,PMT(D380/12,Hipoteca!$C$5*12-(B380-1),-N380),O379))</f>
        <v>0</v>
      </c>
      <c r="P380" s="25">
        <f>N380*D380/12</f>
        <v>7.665335033379962e-14</v>
      </c>
      <c r="Q380" s="25">
        <f>IF(N380&lt;=0.005,0,MIN(N380,O380-P380))</f>
        <v>0</v>
      </c>
      <c r="R380" s="25">
        <f>MAX(0,N380-Q380)</f>
        <v>3.171862772433087e-11</v>
      </c>
    </row>
    <row r="381" spans="2:18" ht="18" customHeight="1">
      <c r="B381" s="21">
        <f>ROW()-5</f>
        <v>376</v>
      </c>
      <c r="C381" s="22">
        <f>EDATE(Hipoteca!$C$7,B381-1)</f>
        <v>57742.0</v>
      </c>
      <c r="D381" s="23">
        <f>IFERROR(LOOKUP(2,1/((Hipoteca!$E$4:$E$9&lt;&gt;"")*(Hipoteca!$E$4:$E$9&lt;=C381)),Hipoteca!$F$4:$F$9),Hipoteca!$C$6)</f>
        <v>0.029</v>
      </c>
      <c r="E381" s="24">
        <f>J380</f>
        <v>0</v>
      </c>
      <c r="F381" s="24">
        <f>IF(E381&lt;=0.005,0,MIN(E381*(1+D381/12),IF(OR(Hipoteca!$C$8="Reducir cuota",D381&lt;&gt;D380),PMT(D381/12,K381,-E381),F380)))</f>
        <v>0</v>
      </c>
      <c r="G381" s="24">
        <f>E381*D381/12</f>
        <v>0</v>
      </c>
      <c r="H381" s="24">
        <f>IF(E381&lt;=0.005,0,MIN(E381,F381-G381))</f>
        <v>0</v>
      </c>
      <c r="I381" s="24">
        <f>MIN(E381-H381,SUMPRODUCT((YEAR(Hipoteca!$H$4:$H$15)=YEAR(C381))*(MONTH(Hipoteca!$H$4:$H$15)=MONTH(C381))*(Hipoteca!$H$4:$H$15&lt;&gt;"")*Hipoteca!$I$4:$I$15))</f>
        <v>0</v>
      </c>
      <c r="J381" s="24">
        <f>MAX(0,E381-H381-I381)</f>
        <v>0</v>
      </c>
      <c r="K381" s="21">
        <f>IF(E381&lt;=0.005,0,IF(Hipoteca!$C$8="Reducir cuota",$K$6-(B381-1),IFERROR(MAX(1,ROUNDUP(NPER(D380/12,-F380,E381),0)),$K$6-(B381-1))))</f>
        <v>0</v>
      </c>
      <c r="L381" s="21">
        <f>YEAR(C381)</f>
        <v>2058</v>
      </c>
      <c r="N381" s="25">
        <f>R380</f>
        <v>3.171862772433087e-11</v>
      </c>
      <c r="O381" s="25">
        <f>IF(N381&lt;=0.005,0,IF(D381&lt;&gt;D380,PMT(D381/12,Hipoteca!$C$5*12-(B381-1),-N381),O380))</f>
        <v>0</v>
      </c>
      <c r="P381" s="25">
        <f>N381*D381/12</f>
        <v>7.665335033379962e-14</v>
      </c>
      <c r="Q381" s="25">
        <f>IF(N381&lt;=0.005,0,MIN(N381,O381-P381))</f>
        <v>0</v>
      </c>
      <c r="R381" s="25">
        <f>MAX(0,N381-Q381)</f>
        <v>3.171862772433087e-11</v>
      </c>
    </row>
    <row r="382" spans="2:18" ht="18" customHeight="1">
      <c r="B382" s="21">
        <f>ROW()-5</f>
        <v>377</v>
      </c>
      <c r="C382" s="22">
        <f>EDATE(Hipoteca!$C$7,B382-1)</f>
        <v>57770.0</v>
      </c>
      <c r="D382" s="23">
        <f>IFERROR(LOOKUP(2,1/((Hipoteca!$E$4:$E$9&lt;&gt;"")*(Hipoteca!$E$4:$E$9&lt;=C382)),Hipoteca!$F$4:$F$9),Hipoteca!$C$6)</f>
        <v>0.029</v>
      </c>
      <c r="E382" s="24">
        <f>J381</f>
        <v>0</v>
      </c>
      <c r="F382" s="24">
        <f>IF(E382&lt;=0.005,0,MIN(E382*(1+D382/12),IF(OR(Hipoteca!$C$8="Reducir cuota",D382&lt;&gt;D381),PMT(D382/12,K382,-E382),F381)))</f>
        <v>0</v>
      </c>
      <c r="G382" s="24">
        <f>E382*D382/12</f>
        <v>0</v>
      </c>
      <c r="H382" s="24">
        <f>IF(E382&lt;=0.005,0,MIN(E382,F382-G382))</f>
        <v>0</v>
      </c>
      <c r="I382" s="24">
        <f>MIN(E382-H382,SUMPRODUCT((YEAR(Hipoteca!$H$4:$H$15)=YEAR(C382))*(MONTH(Hipoteca!$H$4:$H$15)=MONTH(C382))*(Hipoteca!$H$4:$H$15&lt;&gt;"")*Hipoteca!$I$4:$I$15))</f>
        <v>0</v>
      </c>
      <c r="J382" s="24">
        <f>MAX(0,E382-H382-I382)</f>
        <v>0</v>
      </c>
      <c r="K382" s="21">
        <f>IF(E382&lt;=0.005,0,IF(Hipoteca!$C$8="Reducir cuota",$K$6-(B382-1),IFERROR(MAX(1,ROUNDUP(NPER(D381/12,-F381,E382),0)),$K$6-(B382-1))))</f>
        <v>0</v>
      </c>
      <c r="L382" s="21">
        <f>YEAR(C382)</f>
        <v>2058</v>
      </c>
      <c r="N382" s="25">
        <f>R381</f>
        <v>3.171862772433087e-11</v>
      </c>
      <c r="O382" s="25">
        <f>IF(N382&lt;=0.005,0,IF(D382&lt;&gt;D381,PMT(D382/12,Hipoteca!$C$5*12-(B382-1),-N382),O381))</f>
        <v>0</v>
      </c>
      <c r="P382" s="25">
        <f>N382*D382/12</f>
        <v>7.665335033379962e-14</v>
      </c>
      <c r="Q382" s="25">
        <f>IF(N382&lt;=0.005,0,MIN(N382,O382-P382))</f>
        <v>0</v>
      </c>
      <c r="R382" s="25">
        <f>MAX(0,N382-Q382)</f>
        <v>3.171862772433087e-11</v>
      </c>
    </row>
    <row r="383" spans="2:18" ht="18" customHeight="1">
      <c r="B383" s="21">
        <f>ROW()-5</f>
        <v>378</v>
      </c>
      <c r="C383" s="22">
        <f>EDATE(Hipoteca!$C$7,B383-1)</f>
        <v>57801.0</v>
      </c>
      <c r="D383" s="23">
        <f>IFERROR(LOOKUP(2,1/((Hipoteca!$E$4:$E$9&lt;&gt;"")*(Hipoteca!$E$4:$E$9&lt;=C383)),Hipoteca!$F$4:$F$9),Hipoteca!$C$6)</f>
        <v>0.029</v>
      </c>
      <c r="E383" s="24">
        <f>J382</f>
        <v>0</v>
      </c>
      <c r="F383" s="24">
        <f>IF(E383&lt;=0.005,0,MIN(E383*(1+D383/12),IF(OR(Hipoteca!$C$8="Reducir cuota",D383&lt;&gt;D382),PMT(D383/12,K383,-E383),F382)))</f>
        <v>0</v>
      </c>
      <c r="G383" s="24">
        <f>E383*D383/12</f>
        <v>0</v>
      </c>
      <c r="H383" s="24">
        <f>IF(E383&lt;=0.005,0,MIN(E383,F383-G383))</f>
        <v>0</v>
      </c>
      <c r="I383" s="24">
        <f>MIN(E383-H383,SUMPRODUCT((YEAR(Hipoteca!$H$4:$H$15)=YEAR(C383))*(MONTH(Hipoteca!$H$4:$H$15)=MONTH(C383))*(Hipoteca!$H$4:$H$15&lt;&gt;"")*Hipoteca!$I$4:$I$15))</f>
        <v>0</v>
      </c>
      <c r="J383" s="24">
        <f>MAX(0,E383-H383-I383)</f>
        <v>0</v>
      </c>
      <c r="K383" s="21">
        <f>IF(E383&lt;=0.005,0,IF(Hipoteca!$C$8="Reducir cuota",$K$6-(B383-1),IFERROR(MAX(1,ROUNDUP(NPER(D382/12,-F382,E383),0)),$K$6-(B383-1))))</f>
        <v>0</v>
      </c>
      <c r="L383" s="21">
        <f>YEAR(C383)</f>
        <v>2058</v>
      </c>
      <c r="N383" s="25">
        <f>R382</f>
        <v>3.171862772433087e-11</v>
      </c>
      <c r="O383" s="25">
        <f>IF(N383&lt;=0.005,0,IF(D383&lt;&gt;D382,PMT(D383/12,Hipoteca!$C$5*12-(B383-1),-N383),O382))</f>
        <v>0</v>
      </c>
      <c r="P383" s="25">
        <f>N383*D383/12</f>
        <v>7.665335033379962e-14</v>
      </c>
      <c r="Q383" s="25">
        <f>IF(N383&lt;=0.005,0,MIN(N383,O383-P383))</f>
        <v>0</v>
      </c>
      <c r="R383" s="25">
        <f>MAX(0,N383-Q383)</f>
        <v>3.171862772433087e-11</v>
      </c>
    </row>
    <row r="384" spans="2:18" ht="18" customHeight="1">
      <c r="B384" s="21">
        <f>ROW()-5</f>
        <v>379</v>
      </c>
      <c r="C384" s="22">
        <f>EDATE(Hipoteca!$C$7,B384-1)</f>
        <v>57831.0</v>
      </c>
      <c r="D384" s="23">
        <f>IFERROR(LOOKUP(2,1/((Hipoteca!$E$4:$E$9&lt;&gt;"")*(Hipoteca!$E$4:$E$9&lt;=C384)),Hipoteca!$F$4:$F$9),Hipoteca!$C$6)</f>
        <v>0.029</v>
      </c>
      <c r="E384" s="24">
        <f>J383</f>
        <v>0</v>
      </c>
      <c r="F384" s="24">
        <f>IF(E384&lt;=0.005,0,MIN(E384*(1+D384/12),IF(OR(Hipoteca!$C$8="Reducir cuota",D384&lt;&gt;D383),PMT(D384/12,K384,-E384),F383)))</f>
        <v>0</v>
      </c>
      <c r="G384" s="24">
        <f>E384*D384/12</f>
        <v>0</v>
      </c>
      <c r="H384" s="24">
        <f>IF(E384&lt;=0.005,0,MIN(E384,F384-G384))</f>
        <v>0</v>
      </c>
      <c r="I384" s="24">
        <f>MIN(E384-H384,SUMPRODUCT((YEAR(Hipoteca!$H$4:$H$15)=YEAR(C384))*(MONTH(Hipoteca!$H$4:$H$15)=MONTH(C384))*(Hipoteca!$H$4:$H$15&lt;&gt;"")*Hipoteca!$I$4:$I$15))</f>
        <v>0</v>
      </c>
      <c r="J384" s="24">
        <f>MAX(0,E384-H384-I384)</f>
        <v>0</v>
      </c>
      <c r="K384" s="21">
        <f>IF(E384&lt;=0.005,0,IF(Hipoteca!$C$8="Reducir cuota",$K$6-(B384-1),IFERROR(MAX(1,ROUNDUP(NPER(D383/12,-F383,E384),0)),$K$6-(B384-1))))</f>
        <v>0</v>
      </c>
      <c r="L384" s="21">
        <f>YEAR(C384)</f>
        <v>2058</v>
      </c>
      <c r="N384" s="25">
        <f>R383</f>
        <v>3.171862772433087e-11</v>
      </c>
      <c r="O384" s="25">
        <f>IF(N384&lt;=0.005,0,IF(D384&lt;&gt;D383,PMT(D384/12,Hipoteca!$C$5*12-(B384-1),-N384),O383))</f>
        <v>0</v>
      </c>
      <c r="P384" s="25">
        <f>N384*D384/12</f>
        <v>7.665335033379962e-14</v>
      </c>
      <c r="Q384" s="25">
        <f>IF(N384&lt;=0.005,0,MIN(N384,O384-P384))</f>
        <v>0</v>
      </c>
      <c r="R384" s="25">
        <f>MAX(0,N384-Q384)</f>
        <v>3.171862772433087e-11</v>
      </c>
    </row>
    <row r="385" spans="2:18" ht="18" customHeight="1">
      <c r="B385" s="21">
        <f>ROW()-5</f>
        <v>380</v>
      </c>
      <c r="C385" s="22">
        <f>EDATE(Hipoteca!$C$7,B385-1)</f>
        <v>57862.0</v>
      </c>
      <c r="D385" s="23">
        <f>IFERROR(LOOKUP(2,1/((Hipoteca!$E$4:$E$9&lt;&gt;"")*(Hipoteca!$E$4:$E$9&lt;=C385)),Hipoteca!$F$4:$F$9),Hipoteca!$C$6)</f>
        <v>0.029</v>
      </c>
      <c r="E385" s="24">
        <f>J384</f>
        <v>0</v>
      </c>
      <c r="F385" s="24">
        <f>IF(E385&lt;=0.005,0,MIN(E385*(1+D385/12),IF(OR(Hipoteca!$C$8="Reducir cuota",D385&lt;&gt;D384),PMT(D385/12,K385,-E385),F384)))</f>
        <v>0</v>
      </c>
      <c r="G385" s="24">
        <f>E385*D385/12</f>
        <v>0</v>
      </c>
      <c r="H385" s="24">
        <f>IF(E385&lt;=0.005,0,MIN(E385,F385-G385))</f>
        <v>0</v>
      </c>
      <c r="I385" s="24">
        <f>MIN(E385-H385,SUMPRODUCT((YEAR(Hipoteca!$H$4:$H$15)=YEAR(C385))*(MONTH(Hipoteca!$H$4:$H$15)=MONTH(C385))*(Hipoteca!$H$4:$H$15&lt;&gt;"")*Hipoteca!$I$4:$I$15))</f>
        <v>0</v>
      </c>
      <c r="J385" s="24">
        <f>MAX(0,E385-H385-I385)</f>
        <v>0</v>
      </c>
      <c r="K385" s="21">
        <f>IF(E385&lt;=0.005,0,IF(Hipoteca!$C$8="Reducir cuota",$K$6-(B385-1),IFERROR(MAX(1,ROUNDUP(NPER(D384/12,-F384,E385),0)),$K$6-(B385-1))))</f>
        <v>0</v>
      </c>
      <c r="L385" s="21">
        <f>YEAR(C385)</f>
        <v>2058</v>
      </c>
      <c r="N385" s="25">
        <f>R384</f>
        <v>3.171862772433087e-11</v>
      </c>
      <c r="O385" s="25">
        <f>IF(N385&lt;=0.005,0,IF(D385&lt;&gt;D384,PMT(D385/12,Hipoteca!$C$5*12-(B385-1),-N385),O384))</f>
        <v>0</v>
      </c>
      <c r="P385" s="25">
        <f>N385*D385/12</f>
        <v>7.665335033379962e-14</v>
      </c>
      <c r="Q385" s="25">
        <f>IF(N385&lt;=0.005,0,MIN(N385,O385-P385))</f>
        <v>0</v>
      </c>
      <c r="R385" s="25">
        <f>MAX(0,N385-Q385)</f>
        <v>3.171862772433087e-11</v>
      </c>
    </row>
    <row r="386" spans="2:18" ht="18" customHeight="1">
      <c r="B386" s="21">
        <f>ROW()-5</f>
        <v>381</v>
      </c>
      <c r="C386" s="22">
        <f>EDATE(Hipoteca!$C$7,B386-1)</f>
        <v>57892.0</v>
      </c>
      <c r="D386" s="23">
        <f>IFERROR(LOOKUP(2,1/((Hipoteca!$E$4:$E$9&lt;&gt;"")*(Hipoteca!$E$4:$E$9&lt;=C386)),Hipoteca!$F$4:$F$9),Hipoteca!$C$6)</f>
        <v>0.029</v>
      </c>
      <c r="E386" s="24">
        <f>J385</f>
        <v>0</v>
      </c>
      <c r="F386" s="24">
        <f>IF(E386&lt;=0.005,0,MIN(E386*(1+D386/12),IF(OR(Hipoteca!$C$8="Reducir cuota",D386&lt;&gt;D385),PMT(D386/12,K386,-E386),F385)))</f>
        <v>0</v>
      </c>
      <c r="G386" s="24">
        <f>E386*D386/12</f>
        <v>0</v>
      </c>
      <c r="H386" s="24">
        <f>IF(E386&lt;=0.005,0,MIN(E386,F386-G386))</f>
        <v>0</v>
      </c>
      <c r="I386" s="24">
        <f>MIN(E386-H386,SUMPRODUCT((YEAR(Hipoteca!$H$4:$H$15)=YEAR(C386))*(MONTH(Hipoteca!$H$4:$H$15)=MONTH(C386))*(Hipoteca!$H$4:$H$15&lt;&gt;"")*Hipoteca!$I$4:$I$15))</f>
        <v>0</v>
      </c>
      <c r="J386" s="24">
        <f>MAX(0,E386-H386-I386)</f>
        <v>0</v>
      </c>
      <c r="K386" s="21">
        <f>IF(E386&lt;=0.005,0,IF(Hipoteca!$C$8="Reducir cuota",$K$6-(B386-1),IFERROR(MAX(1,ROUNDUP(NPER(D385/12,-F385,E386),0)),$K$6-(B386-1))))</f>
        <v>0</v>
      </c>
      <c r="L386" s="21">
        <f>YEAR(C386)</f>
        <v>2058</v>
      </c>
      <c r="N386" s="25">
        <f>R385</f>
        <v>3.171862772433087e-11</v>
      </c>
      <c r="O386" s="25">
        <f>IF(N386&lt;=0.005,0,IF(D386&lt;&gt;D385,PMT(D386/12,Hipoteca!$C$5*12-(B386-1),-N386),O385))</f>
        <v>0</v>
      </c>
      <c r="P386" s="25">
        <f>N386*D386/12</f>
        <v>7.665335033379962e-14</v>
      </c>
      <c r="Q386" s="25">
        <f>IF(N386&lt;=0.005,0,MIN(N386,O386-P386))</f>
        <v>0</v>
      </c>
      <c r="R386" s="25">
        <f>MAX(0,N386-Q386)</f>
        <v>3.171862772433087e-11</v>
      </c>
    </row>
    <row r="387" spans="2:18" ht="18" customHeight="1">
      <c r="B387" s="21">
        <f>ROW()-5</f>
        <v>382</v>
      </c>
      <c r="C387" s="22">
        <f>EDATE(Hipoteca!$C$7,B387-1)</f>
        <v>57923.0</v>
      </c>
      <c r="D387" s="23">
        <f>IFERROR(LOOKUP(2,1/((Hipoteca!$E$4:$E$9&lt;&gt;"")*(Hipoteca!$E$4:$E$9&lt;=C387)),Hipoteca!$F$4:$F$9),Hipoteca!$C$6)</f>
        <v>0.029</v>
      </c>
      <c r="E387" s="24">
        <f>J386</f>
        <v>0</v>
      </c>
      <c r="F387" s="24">
        <f>IF(E387&lt;=0.005,0,MIN(E387*(1+D387/12),IF(OR(Hipoteca!$C$8="Reducir cuota",D387&lt;&gt;D386),PMT(D387/12,K387,-E387),F386)))</f>
        <v>0</v>
      </c>
      <c r="G387" s="24">
        <f>E387*D387/12</f>
        <v>0</v>
      </c>
      <c r="H387" s="24">
        <f>IF(E387&lt;=0.005,0,MIN(E387,F387-G387))</f>
        <v>0</v>
      </c>
      <c r="I387" s="24">
        <f>MIN(E387-H387,SUMPRODUCT((YEAR(Hipoteca!$H$4:$H$15)=YEAR(C387))*(MONTH(Hipoteca!$H$4:$H$15)=MONTH(C387))*(Hipoteca!$H$4:$H$15&lt;&gt;"")*Hipoteca!$I$4:$I$15))</f>
        <v>0</v>
      </c>
      <c r="J387" s="24">
        <f>MAX(0,E387-H387-I387)</f>
        <v>0</v>
      </c>
      <c r="K387" s="21">
        <f>IF(E387&lt;=0.005,0,IF(Hipoteca!$C$8="Reducir cuota",$K$6-(B387-1),IFERROR(MAX(1,ROUNDUP(NPER(D386/12,-F386,E387),0)),$K$6-(B387-1))))</f>
        <v>0</v>
      </c>
      <c r="L387" s="21">
        <f>YEAR(C387)</f>
        <v>2058</v>
      </c>
      <c r="N387" s="25">
        <f>R386</f>
        <v>3.171862772433087e-11</v>
      </c>
      <c r="O387" s="25">
        <f>IF(N387&lt;=0.005,0,IF(D387&lt;&gt;D386,PMT(D387/12,Hipoteca!$C$5*12-(B387-1),-N387),O386))</f>
        <v>0</v>
      </c>
      <c r="P387" s="25">
        <f>N387*D387/12</f>
        <v>7.665335033379962e-14</v>
      </c>
      <c r="Q387" s="25">
        <f>IF(N387&lt;=0.005,0,MIN(N387,O387-P387))</f>
        <v>0</v>
      </c>
      <c r="R387" s="25">
        <f>MAX(0,N387-Q387)</f>
        <v>3.171862772433087e-11</v>
      </c>
    </row>
    <row r="388" spans="2:18" ht="18" customHeight="1">
      <c r="B388" s="21">
        <f>ROW()-5</f>
        <v>383</v>
      </c>
      <c r="C388" s="22">
        <f>EDATE(Hipoteca!$C$7,B388-1)</f>
        <v>57954.0</v>
      </c>
      <c r="D388" s="23">
        <f>IFERROR(LOOKUP(2,1/((Hipoteca!$E$4:$E$9&lt;&gt;"")*(Hipoteca!$E$4:$E$9&lt;=C388)),Hipoteca!$F$4:$F$9),Hipoteca!$C$6)</f>
        <v>0.029</v>
      </c>
      <c r="E388" s="24">
        <f>J387</f>
        <v>0</v>
      </c>
      <c r="F388" s="24">
        <f>IF(E388&lt;=0.005,0,MIN(E388*(1+D388/12),IF(OR(Hipoteca!$C$8="Reducir cuota",D388&lt;&gt;D387),PMT(D388/12,K388,-E388),F387)))</f>
        <v>0</v>
      </c>
      <c r="G388" s="24">
        <f>E388*D388/12</f>
        <v>0</v>
      </c>
      <c r="H388" s="24">
        <f>IF(E388&lt;=0.005,0,MIN(E388,F388-G388))</f>
        <v>0</v>
      </c>
      <c r="I388" s="24">
        <f>MIN(E388-H388,SUMPRODUCT((YEAR(Hipoteca!$H$4:$H$15)=YEAR(C388))*(MONTH(Hipoteca!$H$4:$H$15)=MONTH(C388))*(Hipoteca!$H$4:$H$15&lt;&gt;"")*Hipoteca!$I$4:$I$15))</f>
        <v>0</v>
      </c>
      <c r="J388" s="24">
        <f>MAX(0,E388-H388-I388)</f>
        <v>0</v>
      </c>
      <c r="K388" s="21">
        <f>IF(E388&lt;=0.005,0,IF(Hipoteca!$C$8="Reducir cuota",$K$6-(B388-1),IFERROR(MAX(1,ROUNDUP(NPER(D387/12,-F387,E388),0)),$K$6-(B388-1))))</f>
        <v>0</v>
      </c>
      <c r="L388" s="21">
        <f>YEAR(C388)</f>
        <v>2058</v>
      </c>
      <c r="N388" s="25">
        <f>R387</f>
        <v>3.171862772433087e-11</v>
      </c>
      <c r="O388" s="25">
        <f>IF(N388&lt;=0.005,0,IF(D388&lt;&gt;D387,PMT(D388/12,Hipoteca!$C$5*12-(B388-1),-N388),O387))</f>
        <v>0</v>
      </c>
      <c r="P388" s="25">
        <f>N388*D388/12</f>
        <v>7.665335033379962e-14</v>
      </c>
      <c r="Q388" s="25">
        <f>IF(N388&lt;=0.005,0,MIN(N388,O388-P388))</f>
        <v>0</v>
      </c>
      <c r="R388" s="25">
        <f>MAX(0,N388-Q388)</f>
        <v>3.171862772433087e-11</v>
      </c>
    </row>
    <row r="389" spans="2:18" ht="18" customHeight="1">
      <c r="B389" s="21">
        <f>ROW()-5</f>
        <v>384</v>
      </c>
      <c r="C389" s="22">
        <f>EDATE(Hipoteca!$C$7,B389-1)</f>
        <v>57984.0</v>
      </c>
      <c r="D389" s="23">
        <f>IFERROR(LOOKUP(2,1/((Hipoteca!$E$4:$E$9&lt;&gt;"")*(Hipoteca!$E$4:$E$9&lt;=C389)),Hipoteca!$F$4:$F$9),Hipoteca!$C$6)</f>
        <v>0.029</v>
      </c>
      <c r="E389" s="24">
        <f>J388</f>
        <v>0</v>
      </c>
      <c r="F389" s="24">
        <f>IF(E389&lt;=0.005,0,MIN(E389*(1+D389/12),IF(OR(Hipoteca!$C$8="Reducir cuota",D389&lt;&gt;D388),PMT(D389/12,K389,-E389),F388)))</f>
        <v>0</v>
      </c>
      <c r="G389" s="24">
        <f>E389*D389/12</f>
        <v>0</v>
      </c>
      <c r="H389" s="24">
        <f>IF(E389&lt;=0.005,0,MIN(E389,F389-G389))</f>
        <v>0</v>
      </c>
      <c r="I389" s="24">
        <f>MIN(E389-H389,SUMPRODUCT((YEAR(Hipoteca!$H$4:$H$15)=YEAR(C389))*(MONTH(Hipoteca!$H$4:$H$15)=MONTH(C389))*(Hipoteca!$H$4:$H$15&lt;&gt;"")*Hipoteca!$I$4:$I$15))</f>
        <v>0</v>
      </c>
      <c r="J389" s="24">
        <f>MAX(0,E389-H389-I389)</f>
        <v>0</v>
      </c>
      <c r="K389" s="21">
        <f>IF(E389&lt;=0.005,0,IF(Hipoteca!$C$8="Reducir cuota",$K$6-(B389-1),IFERROR(MAX(1,ROUNDUP(NPER(D388/12,-F388,E389),0)),$K$6-(B389-1))))</f>
        <v>0</v>
      </c>
      <c r="L389" s="21">
        <f>YEAR(C389)</f>
        <v>2058</v>
      </c>
      <c r="N389" s="25">
        <f>R388</f>
        <v>3.171862772433087e-11</v>
      </c>
      <c r="O389" s="25">
        <f>IF(N389&lt;=0.005,0,IF(D389&lt;&gt;D388,PMT(D389/12,Hipoteca!$C$5*12-(B389-1),-N389),O388))</f>
        <v>0</v>
      </c>
      <c r="P389" s="25">
        <f>N389*D389/12</f>
        <v>7.665335033379962e-14</v>
      </c>
      <c r="Q389" s="25">
        <f>IF(N389&lt;=0.005,0,MIN(N389,O389-P389))</f>
        <v>0</v>
      </c>
      <c r="R389" s="25">
        <f>MAX(0,N389-Q389)</f>
        <v>3.171862772433087e-11</v>
      </c>
    </row>
    <row r="390" spans="2:18" ht="18" customHeight="1">
      <c r="B390" s="21">
        <f>ROW()-5</f>
        <v>385</v>
      </c>
      <c r="C390" s="22">
        <f>EDATE(Hipoteca!$C$7,B390-1)</f>
        <v>58015.0</v>
      </c>
      <c r="D390" s="23">
        <f>IFERROR(LOOKUP(2,1/((Hipoteca!$E$4:$E$9&lt;&gt;"")*(Hipoteca!$E$4:$E$9&lt;=C390)),Hipoteca!$F$4:$F$9),Hipoteca!$C$6)</f>
        <v>0.029</v>
      </c>
      <c r="E390" s="24">
        <f>J389</f>
        <v>0</v>
      </c>
      <c r="F390" s="24">
        <f>IF(E390&lt;=0.005,0,MIN(E390*(1+D390/12),IF(OR(Hipoteca!$C$8="Reducir cuota",D390&lt;&gt;D389),PMT(D390/12,K390,-E390),F389)))</f>
        <v>0</v>
      </c>
      <c r="G390" s="24">
        <f>E390*D390/12</f>
        <v>0</v>
      </c>
      <c r="H390" s="24">
        <f>IF(E390&lt;=0.005,0,MIN(E390,F390-G390))</f>
        <v>0</v>
      </c>
      <c r="I390" s="24">
        <f>MIN(E390-H390,SUMPRODUCT((YEAR(Hipoteca!$H$4:$H$15)=YEAR(C390))*(MONTH(Hipoteca!$H$4:$H$15)=MONTH(C390))*(Hipoteca!$H$4:$H$15&lt;&gt;"")*Hipoteca!$I$4:$I$15))</f>
        <v>0</v>
      </c>
      <c r="J390" s="24">
        <f>MAX(0,E390-H390-I390)</f>
        <v>0</v>
      </c>
      <c r="K390" s="21">
        <f>IF(E390&lt;=0.005,0,IF(Hipoteca!$C$8="Reducir cuota",$K$6-(B390-1),IFERROR(MAX(1,ROUNDUP(NPER(D389/12,-F389,E390),0)),$K$6-(B390-1))))</f>
        <v>0</v>
      </c>
      <c r="L390" s="21">
        <f>YEAR(C390)</f>
        <v>2058</v>
      </c>
      <c r="N390" s="25">
        <f>R389</f>
        <v>3.171862772433087e-11</v>
      </c>
      <c r="O390" s="25">
        <f>IF(N390&lt;=0.005,0,IF(D390&lt;&gt;D389,PMT(D390/12,Hipoteca!$C$5*12-(B390-1),-N390),O389))</f>
        <v>0</v>
      </c>
      <c r="P390" s="25">
        <f>N390*D390/12</f>
        <v>7.665335033379962e-14</v>
      </c>
      <c r="Q390" s="25">
        <f>IF(N390&lt;=0.005,0,MIN(N390,O390-P390))</f>
        <v>0</v>
      </c>
      <c r="R390" s="25">
        <f>MAX(0,N390-Q390)</f>
        <v>3.171862772433087e-11</v>
      </c>
    </row>
    <row r="391" spans="2:18" ht="18" customHeight="1">
      <c r="B391" s="21">
        <f>ROW()-5</f>
        <v>386</v>
      </c>
      <c r="C391" s="22">
        <f>EDATE(Hipoteca!$C$7,B391-1)</f>
        <v>58045.0</v>
      </c>
      <c r="D391" s="23">
        <f>IFERROR(LOOKUP(2,1/((Hipoteca!$E$4:$E$9&lt;&gt;"")*(Hipoteca!$E$4:$E$9&lt;=C391)),Hipoteca!$F$4:$F$9),Hipoteca!$C$6)</f>
        <v>0.029</v>
      </c>
      <c r="E391" s="24">
        <f>J390</f>
        <v>0</v>
      </c>
      <c r="F391" s="24">
        <f>IF(E391&lt;=0.005,0,MIN(E391*(1+D391/12),IF(OR(Hipoteca!$C$8="Reducir cuota",D391&lt;&gt;D390),PMT(D391/12,K391,-E391),F390)))</f>
        <v>0</v>
      </c>
      <c r="G391" s="24">
        <f>E391*D391/12</f>
        <v>0</v>
      </c>
      <c r="H391" s="24">
        <f>IF(E391&lt;=0.005,0,MIN(E391,F391-G391))</f>
        <v>0</v>
      </c>
      <c r="I391" s="24">
        <f>MIN(E391-H391,SUMPRODUCT((YEAR(Hipoteca!$H$4:$H$15)=YEAR(C391))*(MONTH(Hipoteca!$H$4:$H$15)=MONTH(C391))*(Hipoteca!$H$4:$H$15&lt;&gt;"")*Hipoteca!$I$4:$I$15))</f>
        <v>0</v>
      </c>
      <c r="J391" s="24">
        <f>MAX(0,E391-H391-I391)</f>
        <v>0</v>
      </c>
      <c r="K391" s="21">
        <f>IF(E391&lt;=0.005,0,IF(Hipoteca!$C$8="Reducir cuota",$K$6-(B391-1),IFERROR(MAX(1,ROUNDUP(NPER(D390/12,-F390,E391),0)),$K$6-(B391-1))))</f>
        <v>0</v>
      </c>
      <c r="L391" s="21">
        <f>YEAR(C391)</f>
        <v>2058</v>
      </c>
      <c r="N391" s="25">
        <f>R390</f>
        <v>3.171862772433087e-11</v>
      </c>
      <c r="O391" s="25">
        <f>IF(N391&lt;=0.005,0,IF(D391&lt;&gt;D390,PMT(D391/12,Hipoteca!$C$5*12-(B391-1),-N391),O390))</f>
        <v>0</v>
      </c>
      <c r="P391" s="25">
        <f>N391*D391/12</f>
        <v>7.665335033379962e-14</v>
      </c>
      <c r="Q391" s="25">
        <f>IF(N391&lt;=0.005,0,MIN(N391,O391-P391))</f>
        <v>0</v>
      </c>
      <c r="R391" s="25">
        <f>MAX(0,N391-Q391)</f>
        <v>3.171862772433087e-11</v>
      </c>
    </row>
    <row r="392" spans="2:18" ht="18" customHeight="1">
      <c r="B392" s="21">
        <f>ROW()-5</f>
        <v>387</v>
      </c>
      <c r="C392" s="22">
        <f>EDATE(Hipoteca!$C$7,B392-1)</f>
        <v>58076.0</v>
      </c>
      <c r="D392" s="23">
        <f>IFERROR(LOOKUP(2,1/((Hipoteca!$E$4:$E$9&lt;&gt;"")*(Hipoteca!$E$4:$E$9&lt;=C392)),Hipoteca!$F$4:$F$9),Hipoteca!$C$6)</f>
        <v>0.029</v>
      </c>
      <c r="E392" s="24">
        <f>J391</f>
        <v>0</v>
      </c>
      <c r="F392" s="24">
        <f>IF(E392&lt;=0.005,0,MIN(E392*(1+D392/12),IF(OR(Hipoteca!$C$8="Reducir cuota",D392&lt;&gt;D391),PMT(D392/12,K392,-E392),F391)))</f>
        <v>0</v>
      </c>
      <c r="G392" s="24">
        <f>E392*D392/12</f>
        <v>0</v>
      </c>
      <c r="H392" s="24">
        <f>IF(E392&lt;=0.005,0,MIN(E392,F392-G392))</f>
        <v>0</v>
      </c>
      <c r="I392" s="24">
        <f>MIN(E392-H392,SUMPRODUCT((YEAR(Hipoteca!$H$4:$H$15)=YEAR(C392))*(MONTH(Hipoteca!$H$4:$H$15)=MONTH(C392))*(Hipoteca!$H$4:$H$15&lt;&gt;"")*Hipoteca!$I$4:$I$15))</f>
        <v>0</v>
      </c>
      <c r="J392" s="24">
        <f>MAX(0,E392-H392-I392)</f>
        <v>0</v>
      </c>
      <c r="K392" s="21">
        <f>IF(E392&lt;=0.005,0,IF(Hipoteca!$C$8="Reducir cuota",$K$6-(B392-1),IFERROR(MAX(1,ROUNDUP(NPER(D391/12,-F391,E392),0)),$K$6-(B392-1))))</f>
        <v>0</v>
      </c>
      <c r="L392" s="21">
        <f>YEAR(C392)</f>
        <v>2059</v>
      </c>
      <c r="N392" s="25">
        <f>R391</f>
        <v>3.171862772433087e-11</v>
      </c>
      <c r="O392" s="25">
        <f>IF(N392&lt;=0.005,0,IF(D392&lt;&gt;D391,PMT(D392/12,Hipoteca!$C$5*12-(B392-1),-N392),O391))</f>
        <v>0</v>
      </c>
      <c r="P392" s="25">
        <f>N392*D392/12</f>
        <v>7.665335033379962e-14</v>
      </c>
      <c r="Q392" s="25">
        <f>IF(N392&lt;=0.005,0,MIN(N392,O392-P392))</f>
        <v>0</v>
      </c>
      <c r="R392" s="25">
        <f>MAX(0,N392-Q392)</f>
        <v>3.171862772433087e-11</v>
      </c>
    </row>
    <row r="393" spans="2:18" ht="18" customHeight="1">
      <c r="B393" s="21">
        <f>ROW()-5</f>
        <v>388</v>
      </c>
      <c r="C393" s="22">
        <f>EDATE(Hipoteca!$C$7,B393-1)</f>
        <v>58107.0</v>
      </c>
      <c r="D393" s="23">
        <f>IFERROR(LOOKUP(2,1/((Hipoteca!$E$4:$E$9&lt;&gt;"")*(Hipoteca!$E$4:$E$9&lt;=C393)),Hipoteca!$F$4:$F$9),Hipoteca!$C$6)</f>
        <v>0.029</v>
      </c>
      <c r="E393" s="24">
        <f>J392</f>
        <v>0</v>
      </c>
      <c r="F393" s="24">
        <f>IF(E393&lt;=0.005,0,MIN(E393*(1+D393/12),IF(OR(Hipoteca!$C$8="Reducir cuota",D393&lt;&gt;D392),PMT(D393/12,K393,-E393),F392)))</f>
        <v>0</v>
      </c>
      <c r="G393" s="24">
        <f>E393*D393/12</f>
        <v>0</v>
      </c>
      <c r="H393" s="24">
        <f>IF(E393&lt;=0.005,0,MIN(E393,F393-G393))</f>
        <v>0</v>
      </c>
      <c r="I393" s="24">
        <f>MIN(E393-H393,SUMPRODUCT((YEAR(Hipoteca!$H$4:$H$15)=YEAR(C393))*(MONTH(Hipoteca!$H$4:$H$15)=MONTH(C393))*(Hipoteca!$H$4:$H$15&lt;&gt;"")*Hipoteca!$I$4:$I$15))</f>
        <v>0</v>
      </c>
      <c r="J393" s="24">
        <f>MAX(0,E393-H393-I393)</f>
        <v>0</v>
      </c>
      <c r="K393" s="21">
        <f>IF(E393&lt;=0.005,0,IF(Hipoteca!$C$8="Reducir cuota",$K$6-(B393-1),IFERROR(MAX(1,ROUNDUP(NPER(D392/12,-F392,E393),0)),$K$6-(B393-1))))</f>
        <v>0</v>
      </c>
      <c r="L393" s="21">
        <f>YEAR(C393)</f>
        <v>2059</v>
      </c>
      <c r="N393" s="25">
        <f>R392</f>
        <v>3.171862772433087e-11</v>
      </c>
      <c r="O393" s="25">
        <f>IF(N393&lt;=0.005,0,IF(D393&lt;&gt;D392,PMT(D393/12,Hipoteca!$C$5*12-(B393-1),-N393),O392))</f>
        <v>0</v>
      </c>
      <c r="P393" s="25">
        <f>N393*D393/12</f>
        <v>7.665335033379962e-14</v>
      </c>
      <c r="Q393" s="25">
        <f>IF(N393&lt;=0.005,0,MIN(N393,O393-P393))</f>
        <v>0</v>
      </c>
      <c r="R393" s="25">
        <f>MAX(0,N393-Q393)</f>
        <v>3.171862772433087e-11</v>
      </c>
    </row>
    <row r="394" spans="2:18" ht="18" customHeight="1">
      <c r="B394" s="21">
        <f>ROW()-5</f>
        <v>389</v>
      </c>
      <c r="C394" s="22">
        <f>EDATE(Hipoteca!$C$7,B394-1)</f>
        <v>58135.0</v>
      </c>
      <c r="D394" s="23">
        <f>IFERROR(LOOKUP(2,1/((Hipoteca!$E$4:$E$9&lt;&gt;"")*(Hipoteca!$E$4:$E$9&lt;=C394)),Hipoteca!$F$4:$F$9),Hipoteca!$C$6)</f>
        <v>0.029</v>
      </c>
      <c r="E394" s="24">
        <f>J393</f>
        <v>0</v>
      </c>
      <c r="F394" s="24">
        <f>IF(E394&lt;=0.005,0,MIN(E394*(1+D394/12),IF(OR(Hipoteca!$C$8="Reducir cuota",D394&lt;&gt;D393),PMT(D394/12,K394,-E394),F393)))</f>
        <v>0</v>
      </c>
      <c r="G394" s="24">
        <f>E394*D394/12</f>
        <v>0</v>
      </c>
      <c r="H394" s="24">
        <f>IF(E394&lt;=0.005,0,MIN(E394,F394-G394))</f>
        <v>0</v>
      </c>
      <c r="I394" s="24">
        <f>MIN(E394-H394,SUMPRODUCT((YEAR(Hipoteca!$H$4:$H$15)=YEAR(C394))*(MONTH(Hipoteca!$H$4:$H$15)=MONTH(C394))*(Hipoteca!$H$4:$H$15&lt;&gt;"")*Hipoteca!$I$4:$I$15))</f>
        <v>0</v>
      </c>
      <c r="J394" s="24">
        <f>MAX(0,E394-H394-I394)</f>
        <v>0</v>
      </c>
      <c r="K394" s="21">
        <f>IF(E394&lt;=0.005,0,IF(Hipoteca!$C$8="Reducir cuota",$K$6-(B394-1),IFERROR(MAX(1,ROUNDUP(NPER(D393/12,-F393,E394),0)),$K$6-(B394-1))))</f>
        <v>0</v>
      </c>
      <c r="L394" s="21">
        <f>YEAR(C394)</f>
        <v>2059</v>
      </c>
      <c r="N394" s="25">
        <f>R393</f>
        <v>3.171862772433087e-11</v>
      </c>
      <c r="O394" s="25">
        <f>IF(N394&lt;=0.005,0,IF(D394&lt;&gt;D393,PMT(D394/12,Hipoteca!$C$5*12-(B394-1),-N394),O393))</f>
        <v>0</v>
      </c>
      <c r="P394" s="25">
        <f>N394*D394/12</f>
        <v>7.665335033379962e-14</v>
      </c>
      <c r="Q394" s="25">
        <f>IF(N394&lt;=0.005,0,MIN(N394,O394-P394))</f>
        <v>0</v>
      </c>
      <c r="R394" s="25">
        <f>MAX(0,N394-Q394)</f>
        <v>3.171862772433087e-11</v>
      </c>
    </row>
    <row r="395" spans="2:18" ht="18" customHeight="1">
      <c r="B395" s="21">
        <f>ROW()-5</f>
        <v>390</v>
      </c>
      <c r="C395" s="22">
        <f>EDATE(Hipoteca!$C$7,B395-1)</f>
        <v>58166.0</v>
      </c>
      <c r="D395" s="23">
        <f>IFERROR(LOOKUP(2,1/((Hipoteca!$E$4:$E$9&lt;&gt;"")*(Hipoteca!$E$4:$E$9&lt;=C395)),Hipoteca!$F$4:$F$9),Hipoteca!$C$6)</f>
        <v>0.029</v>
      </c>
      <c r="E395" s="24">
        <f>J394</f>
        <v>0</v>
      </c>
      <c r="F395" s="24">
        <f>IF(E395&lt;=0.005,0,MIN(E395*(1+D395/12),IF(OR(Hipoteca!$C$8="Reducir cuota",D395&lt;&gt;D394),PMT(D395/12,K395,-E395),F394)))</f>
        <v>0</v>
      </c>
      <c r="G395" s="24">
        <f>E395*D395/12</f>
        <v>0</v>
      </c>
      <c r="H395" s="24">
        <f>IF(E395&lt;=0.005,0,MIN(E395,F395-G395))</f>
        <v>0</v>
      </c>
      <c r="I395" s="24">
        <f>MIN(E395-H395,SUMPRODUCT((YEAR(Hipoteca!$H$4:$H$15)=YEAR(C395))*(MONTH(Hipoteca!$H$4:$H$15)=MONTH(C395))*(Hipoteca!$H$4:$H$15&lt;&gt;"")*Hipoteca!$I$4:$I$15))</f>
        <v>0</v>
      </c>
      <c r="J395" s="24">
        <f>MAX(0,E395-H395-I395)</f>
        <v>0</v>
      </c>
      <c r="K395" s="21">
        <f>IF(E395&lt;=0.005,0,IF(Hipoteca!$C$8="Reducir cuota",$K$6-(B395-1),IFERROR(MAX(1,ROUNDUP(NPER(D394/12,-F394,E395),0)),$K$6-(B395-1))))</f>
        <v>0</v>
      </c>
      <c r="L395" s="21">
        <f>YEAR(C395)</f>
        <v>2059</v>
      </c>
      <c r="N395" s="25">
        <f>R394</f>
        <v>3.171862772433087e-11</v>
      </c>
      <c r="O395" s="25">
        <f>IF(N395&lt;=0.005,0,IF(D395&lt;&gt;D394,PMT(D395/12,Hipoteca!$C$5*12-(B395-1),-N395),O394))</f>
        <v>0</v>
      </c>
      <c r="P395" s="25">
        <f>N395*D395/12</f>
        <v>7.665335033379962e-14</v>
      </c>
      <c r="Q395" s="25">
        <f>IF(N395&lt;=0.005,0,MIN(N395,O395-P395))</f>
        <v>0</v>
      </c>
      <c r="R395" s="25">
        <f>MAX(0,N395-Q395)</f>
        <v>3.171862772433087e-11</v>
      </c>
    </row>
    <row r="396" spans="2:18" ht="18" customHeight="1">
      <c r="B396" s="21">
        <f>ROW()-5</f>
        <v>391</v>
      </c>
      <c r="C396" s="22">
        <f>EDATE(Hipoteca!$C$7,B396-1)</f>
        <v>58196.0</v>
      </c>
      <c r="D396" s="23">
        <f>IFERROR(LOOKUP(2,1/((Hipoteca!$E$4:$E$9&lt;&gt;"")*(Hipoteca!$E$4:$E$9&lt;=C396)),Hipoteca!$F$4:$F$9),Hipoteca!$C$6)</f>
        <v>0.029</v>
      </c>
      <c r="E396" s="24">
        <f>J395</f>
        <v>0</v>
      </c>
      <c r="F396" s="24">
        <f>IF(E396&lt;=0.005,0,MIN(E396*(1+D396/12),IF(OR(Hipoteca!$C$8="Reducir cuota",D396&lt;&gt;D395),PMT(D396/12,K396,-E396),F395)))</f>
        <v>0</v>
      </c>
      <c r="G396" s="24">
        <f>E396*D396/12</f>
        <v>0</v>
      </c>
      <c r="H396" s="24">
        <f>IF(E396&lt;=0.005,0,MIN(E396,F396-G396))</f>
        <v>0</v>
      </c>
      <c r="I396" s="24">
        <f>MIN(E396-H396,SUMPRODUCT((YEAR(Hipoteca!$H$4:$H$15)=YEAR(C396))*(MONTH(Hipoteca!$H$4:$H$15)=MONTH(C396))*(Hipoteca!$H$4:$H$15&lt;&gt;"")*Hipoteca!$I$4:$I$15))</f>
        <v>0</v>
      </c>
      <c r="J396" s="24">
        <f>MAX(0,E396-H396-I396)</f>
        <v>0</v>
      </c>
      <c r="K396" s="21">
        <f>IF(E396&lt;=0.005,0,IF(Hipoteca!$C$8="Reducir cuota",$K$6-(B396-1),IFERROR(MAX(1,ROUNDUP(NPER(D395/12,-F395,E396),0)),$K$6-(B396-1))))</f>
        <v>0</v>
      </c>
      <c r="L396" s="21">
        <f>YEAR(C396)</f>
        <v>2059</v>
      </c>
      <c r="N396" s="25">
        <f>R395</f>
        <v>3.171862772433087e-11</v>
      </c>
      <c r="O396" s="25">
        <f>IF(N396&lt;=0.005,0,IF(D396&lt;&gt;D395,PMT(D396/12,Hipoteca!$C$5*12-(B396-1),-N396),O395))</f>
        <v>0</v>
      </c>
      <c r="P396" s="25">
        <f>N396*D396/12</f>
        <v>7.665335033379962e-14</v>
      </c>
      <c r="Q396" s="25">
        <f>IF(N396&lt;=0.005,0,MIN(N396,O396-P396))</f>
        <v>0</v>
      </c>
      <c r="R396" s="25">
        <f>MAX(0,N396-Q396)</f>
        <v>3.171862772433087e-11</v>
      </c>
    </row>
    <row r="397" spans="2:18" ht="18" customHeight="1">
      <c r="B397" s="21">
        <f>ROW()-5</f>
        <v>392</v>
      </c>
      <c r="C397" s="22">
        <f>EDATE(Hipoteca!$C$7,B397-1)</f>
        <v>58227.0</v>
      </c>
      <c r="D397" s="23">
        <f>IFERROR(LOOKUP(2,1/((Hipoteca!$E$4:$E$9&lt;&gt;"")*(Hipoteca!$E$4:$E$9&lt;=C397)),Hipoteca!$F$4:$F$9),Hipoteca!$C$6)</f>
        <v>0.029</v>
      </c>
      <c r="E397" s="24">
        <f>J396</f>
        <v>0</v>
      </c>
      <c r="F397" s="24">
        <f>IF(E397&lt;=0.005,0,MIN(E397*(1+D397/12),IF(OR(Hipoteca!$C$8="Reducir cuota",D397&lt;&gt;D396),PMT(D397/12,K397,-E397),F396)))</f>
        <v>0</v>
      </c>
      <c r="G397" s="24">
        <f>E397*D397/12</f>
        <v>0</v>
      </c>
      <c r="H397" s="24">
        <f>IF(E397&lt;=0.005,0,MIN(E397,F397-G397))</f>
        <v>0</v>
      </c>
      <c r="I397" s="24">
        <f>MIN(E397-H397,SUMPRODUCT((YEAR(Hipoteca!$H$4:$H$15)=YEAR(C397))*(MONTH(Hipoteca!$H$4:$H$15)=MONTH(C397))*(Hipoteca!$H$4:$H$15&lt;&gt;"")*Hipoteca!$I$4:$I$15))</f>
        <v>0</v>
      </c>
      <c r="J397" s="24">
        <f>MAX(0,E397-H397-I397)</f>
        <v>0</v>
      </c>
      <c r="K397" s="21">
        <f>IF(E397&lt;=0.005,0,IF(Hipoteca!$C$8="Reducir cuota",$K$6-(B397-1),IFERROR(MAX(1,ROUNDUP(NPER(D396/12,-F396,E397),0)),$K$6-(B397-1))))</f>
        <v>0</v>
      </c>
      <c r="L397" s="21">
        <f>YEAR(C397)</f>
        <v>2059</v>
      </c>
      <c r="N397" s="25">
        <f>R396</f>
        <v>3.171862772433087e-11</v>
      </c>
      <c r="O397" s="25">
        <f>IF(N397&lt;=0.005,0,IF(D397&lt;&gt;D396,PMT(D397/12,Hipoteca!$C$5*12-(B397-1),-N397),O396))</f>
        <v>0</v>
      </c>
      <c r="P397" s="25">
        <f>N397*D397/12</f>
        <v>7.665335033379962e-14</v>
      </c>
      <c r="Q397" s="25">
        <f>IF(N397&lt;=0.005,0,MIN(N397,O397-P397))</f>
        <v>0</v>
      </c>
      <c r="R397" s="25">
        <f>MAX(0,N397-Q397)</f>
        <v>3.171862772433087e-11</v>
      </c>
    </row>
    <row r="398" spans="2:18" ht="18" customHeight="1">
      <c r="B398" s="21">
        <f>ROW()-5</f>
        <v>393</v>
      </c>
      <c r="C398" s="22">
        <f>EDATE(Hipoteca!$C$7,B398-1)</f>
        <v>58257.0</v>
      </c>
      <c r="D398" s="23">
        <f>IFERROR(LOOKUP(2,1/((Hipoteca!$E$4:$E$9&lt;&gt;"")*(Hipoteca!$E$4:$E$9&lt;=C398)),Hipoteca!$F$4:$F$9),Hipoteca!$C$6)</f>
        <v>0.029</v>
      </c>
      <c r="E398" s="24">
        <f>J397</f>
        <v>0</v>
      </c>
      <c r="F398" s="24">
        <f>IF(E398&lt;=0.005,0,MIN(E398*(1+D398/12),IF(OR(Hipoteca!$C$8="Reducir cuota",D398&lt;&gt;D397),PMT(D398/12,K398,-E398),F397)))</f>
        <v>0</v>
      </c>
      <c r="G398" s="24">
        <f>E398*D398/12</f>
        <v>0</v>
      </c>
      <c r="H398" s="24">
        <f>IF(E398&lt;=0.005,0,MIN(E398,F398-G398))</f>
        <v>0</v>
      </c>
      <c r="I398" s="24">
        <f>MIN(E398-H398,SUMPRODUCT((YEAR(Hipoteca!$H$4:$H$15)=YEAR(C398))*(MONTH(Hipoteca!$H$4:$H$15)=MONTH(C398))*(Hipoteca!$H$4:$H$15&lt;&gt;"")*Hipoteca!$I$4:$I$15))</f>
        <v>0</v>
      </c>
      <c r="J398" s="24">
        <f>MAX(0,E398-H398-I398)</f>
        <v>0</v>
      </c>
      <c r="K398" s="21">
        <f>IF(E398&lt;=0.005,0,IF(Hipoteca!$C$8="Reducir cuota",$K$6-(B398-1),IFERROR(MAX(1,ROUNDUP(NPER(D397/12,-F397,E398),0)),$K$6-(B398-1))))</f>
        <v>0</v>
      </c>
      <c r="L398" s="21">
        <f>YEAR(C398)</f>
        <v>2059</v>
      </c>
      <c r="N398" s="25">
        <f>R397</f>
        <v>3.171862772433087e-11</v>
      </c>
      <c r="O398" s="25">
        <f>IF(N398&lt;=0.005,0,IF(D398&lt;&gt;D397,PMT(D398/12,Hipoteca!$C$5*12-(B398-1),-N398),O397))</f>
        <v>0</v>
      </c>
      <c r="P398" s="25">
        <f>N398*D398/12</f>
        <v>7.665335033379962e-14</v>
      </c>
      <c r="Q398" s="25">
        <f>IF(N398&lt;=0.005,0,MIN(N398,O398-P398))</f>
        <v>0</v>
      </c>
      <c r="R398" s="25">
        <f>MAX(0,N398-Q398)</f>
        <v>3.171862772433087e-11</v>
      </c>
    </row>
    <row r="399" spans="2:18" ht="18" customHeight="1">
      <c r="B399" s="21">
        <f>ROW()-5</f>
        <v>394</v>
      </c>
      <c r="C399" s="22">
        <f>EDATE(Hipoteca!$C$7,B399-1)</f>
        <v>58288.0</v>
      </c>
      <c r="D399" s="23">
        <f>IFERROR(LOOKUP(2,1/((Hipoteca!$E$4:$E$9&lt;&gt;"")*(Hipoteca!$E$4:$E$9&lt;=C399)),Hipoteca!$F$4:$F$9),Hipoteca!$C$6)</f>
        <v>0.029</v>
      </c>
      <c r="E399" s="24">
        <f>J398</f>
        <v>0</v>
      </c>
      <c r="F399" s="24">
        <f>IF(E399&lt;=0.005,0,MIN(E399*(1+D399/12),IF(OR(Hipoteca!$C$8="Reducir cuota",D399&lt;&gt;D398),PMT(D399/12,K399,-E399),F398)))</f>
        <v>0</v>
      </c>
      <c r="G399" s="24">
        <f>E399*D399/12</f>
        <v>0</v>
      </c>
      <c r="H399" s="24">
        <f>IF(E399&lt;=0.005,0,MIN(E399,F399-G399))</f>
        <v>0</v>
      </c>
      <c r="I399" s="24">
        <f>MIN(E399-H399,SUMPRODUCT((YEAR(Hipoteca!$H$4:$H$15)=YEAR(C399))*(MONTH(Hipoteca!$H$4:$H$15)=MONTH(C399))*(Hipoteca!$H$4:$H$15&lt;&gt;"")*Hipoteca!$I$4:$I$15))</f>
        <v>0</v>
      </c>
      <c r="J399" s="24">
        <f>MAX(0,E399-H399-I399)</f>
        <v>0</v>
      </c>
      <c r="K399" s="21">
        <f>IF(E399&lt;=0.005,0,IF(Hipoteca!$C$8="Reducir cuota",$K$6-(B399-1),IFERROR(MAX(1,ROUNDUP(NPER(D398/12,-F398,E399),0)),$K$6-(B399-1))))</f>
        <v>0</v>
      </c>
      <c r="L399" s="21">
        <f>YEAR(C399)</f>
        <v>2059</v>
      </c>
      <c r="N399" s="25">
        <f>R398</f>
        <v>3.171862772433087e-11</v>
      </c>
      <c r="O399" s="25">
        <f>IF(N399&lt;=0.005,0,IF(D399&lt;&gt;D398,PMT(D399/12,Hipoteca!$C$5*12-(B399-1),-N399),O398))</f>
        <v>0</v>
      </c>
      <c r="P399" s="25">
        <f>N399*D399/12</f>
        <v>7.665335033379962e-14</v>
      </c>
      <c r="Q399" s="25">
        <f>IF(N399&lt;=0.005,0,MIN(N399,O399-P399))</f>
        <v>0</v>
      </c>
      <c r="R399" s="25">
        <f>MAX(0,N399-Q399)</f>
        <v>3.171862772433087e-11</v>
      </c>
    </row>
    <row r="400" spans="2:18" ht="18" customHeight="1">
      <c r="B400" s="21">
        <f>ROW()-5</f>
        <v>395</v>
      </c>
      <c r="C400" s="22">
        <f>EDATE(Hipoteca!$C$7,B400-1)</f>
        <v>58319.0</v>
      </c>
      <c r="D400" s="23">
        <f>IFERROR(LOOKUP(2,1/((Hipoteca!$E$4:$E$9&lt;&gt;"")*(Hipoteca!$E$4:$E$9&lt;=C400)),Hipoteca!$F$4:$F$9),Hipoteca!$C$6)</f>
        <v>0.029</v>
      </c>
      <c r="E400" s="24">
        <f>J399</f>
        <v>0</v>
      </c>
      <c r="F400" s="24">
        <f>IF(E400&lt;=0.005,0,MIN(E400*(1+D400/12),IF(OR(Hipoteca!$C$8="Reducir cuota",D400&lt;&gt;D399),PMT(D400/12,K400,-E400),F399)))</f>
        <v>0</v>
      </c>
      <c r="G400" s="24">
        <f>E400*D400/12</f>
        <v>0</v>
      </c>
      <c r="H400" s="24">
        <f>IF(E400&lt;=0.005,0,MIN(E400,F400-G400))</f>
        <v>0</v>
      </c>
      <c r="I400" s="24">
        <f>MIN(E400-H400,SUMPRODUCT((YEAR(Hipoteca!$H$4:$H$15)=YEAR(C400))*(MONTH(Hipoteca!$H$4:$H$15)=MONTH(C400))*(Hipoteca!$H$4:$H$15&lt;&gt;"")*Hipoteca!$I$4:$I$15))</f>
        <v>0</v>
      </c>
      <c r="J400" s="24">
        <f>MAX(0,E400-H400-I400)</f>
        <v>0</v>
      </c>
      <c r="K400" s="21">
        <f>IF(E400&lt;=0.005,0,IF(Hipoteca!$C$8="Reducir cuota",$K$6-(B400-1),IFERROR(MAX(1,ROUNDUP(NPER(D399/12,-F399,E400),0)),$K$6-(B400-1))))</f>
        <v>0</v>
      </c>
      <c r="L400" s="21">
        <f>YEAR(C400)</f>
        <v>2059</v>
      </c>
      <c r="N400" s="25">
        <f>R399</f>
        <v>3.171862772433087e-11</v>
      </c>
      <c r="O400" s="25">
        <f>IF(N400&lt;=0.005,0,IF(D400&lt;&gt;D399,PMT(D400/12,Hipoteca!$C$5*12-(B400-1),-N400),O399))</f>
        <v>0</v>
      </c>
      <c r="P400" s="25">
        <f>N400*D400/12</f>
        <v>7.665335033379962e-14</v>
      </c>
      <c r="Q400" s="25">
        <f>IF(N400&lt;=0.005,0,MIN(N400,O400-P400))</f>
        <v>0</v>
      </c>
      <c r="R400" s="25">
        <f>MAX(0,N400-Q400)</f>
        <v>3.171862772433087e-11</v>
      </c>
    </row>
    <row r="401" spans="2:18" ht="18" customHeight="1">
      <c r="B401" s="21">
        <f>ROW()-5</f>
        <v>396</v>
      </c>
      <c r="C401" s="22">
        <f>EDATE(Hipoteca!$C$7,B401-1)</f>
        <v>58349.0</v>
      </c>
      <c r="D401" s="23">
        <f>IFERROR(LOOKUP(2,1/((Hipoteca!$E$4:$E$9&lt;&gt;"")*(Hipoteca!$E$4:$E$9&lt;=C401)),Hipoteca!$F$4:$F$9),Hipoteca!$C$6)</f>
        <v>0.029</v>
      </c>
      <c r="E401" s="24">
        <f>J400</f>
        <v>0</v>
      </c>
      <c r="F401" s="24">
        <f>IF(E401&lt;=0.005,0,MIN(E401*(1+D401/12),IF(OR(Hipoteca!$C$8="Reducir cuota",D401&lt;&gt;D400),PMT(D401/12,K401,-E401),F400)))</f>
        <v>0</v>
      </c>
      <c r="G401" s="24">
        <f>E401*D401/12</f>
        <v>0</v>
      </c>
      <c r="H401" s="24">
        <f>IF(E401&lt;=0.005,0,MIN(E401,F401-G401))</f>
        <v>0</v>
      </c>
      <c r="I401" s="24">
        <f>MIN(E401-H401,SUMPRODUCT((YEAR(Hipoteca!$H$4:$H$15)=YEAR(C401))*(MONTH(Hipoteca!$H$4:$H$15)=MONTH(C401))*(Hipoteca!$H$4:$H$15&lt;&gt;"")*Hipoteca!$I$4:$I$15))</f>
        <v>0</v>
      </c>
      <c r="J401" s="24">
        <f>MAX(0,E401-H401-I401)</f>
        <v>0</v>
      </c>
      <c r="K401" s="21">
        <f>IF(E401&lt;=0.005,0,IF(Hipoteca!$C$8="Reducir cuota",$K$6-(B401-1),IFERROR(MAX(1,ROUNDUP(NPER(D400/12,-F400,E401),0)),$K$6-(B401-1))))</f>
        <v>0</v>
      </c>
      <c r="L401" s="21">
        <f>YEAR(C401)</f>
        <v>2059</v>
      </c>
      <c r="N401" s="25">
        <f>R400</f>
        <v>3.171862772433087e-11</v>
      </c>
      <c r="O401" s="25">
        <f>IF(N401&lt;=0.005,0,IF(D401&lt;&gt;D400,PMT(D401/12,Hipoteca!$C$5*12-(B401-1),-N401),O400))</f>
        <v>0</v>
      </c>
      <c r="P401" s="25">
        <f>N401*D401/12</f>
        <v>7.665335033379962e-14</v>
      </c>
      <c r="Q401" s="25">
        <f>IF(N401&lt;=0.005,0,MIN(N401,O401-P401))</f>
        <v>0</v>
      </c>
      <c r="R401" s="25">
        <f>MAX(0,N401-Q401)</f>
        <v>3.171862772433087e-11</v>
      </c>
    </row>
    <row r="402" spans="2:18" ht="18" customHeight="1">
      <c r="B402" s="21">
        <f>ROW()-5</f>
        <v>397</v>
      </c>
      <c r="C402" s="22">
        <f>EDATE(Hipoteca!$C$7,B402-1)</f>
        <v>58380.0</v>
      </c>
      <c r="D402" s="23">
        <f>IFERROR(LOOKUP(2,1/((Hipoteca!$E$4:$E$9&lt;&gt;"")*(Hipoteca!$E$4:$E$9&lt;=C402)),Hipoteca!$F$4:$F$9),Hipoteca!$C$6)</f>
        <v>0.029</v>
      </c>
      <c r="E402" s="24">
        <f>J401</f>
        <v>0</v>
      </c>
      <c r="F402" s="24">
        <f>IF(E402&lt;=0.005,0,MIN(E402*(1+D402/12),IF(OR(Hipoteca!$C$8="Reducir cuota",D402&lt;&gt;D401),PMT(D402/12,K402,-E402),F401)))</f>
        <v>0</v>
      </c>
      <c r="G402" s="24">
        <f>E402*D402/12</f>
        <v>0</v>
      </c>
      <c r="H402" s="24">
        <f>IF(E402&lt;=0.005,0,MIN(E402,F402-G402))</f>
        <v>0</v>
      </c>
      <c r="I402" s="24">
        <f>MIN(E402-H402,SUMPRODUCT((YEAR(Hipoteca!$H$4:$H$15)=YEAR(C402))*(MONTH(Hipoteca!$H$4:$H$15)=MONTH(C402))*(Hipoteca!$H$4:$H$15&lt;&gt;"")*Hipoteca!$I$4:$I$15))</f>
        <v>0</v>
      </c>
      <c r="J402" s="24">
        <f>MAX(0,E402-H402-I402)</f>
        <v>0</v>
      </c>
      <c r="K402" s="21">
        <f>IF(E402&lt;=0.005,0,IF(Hipoteca!$C$8="Reducir cuota",$K$6-(B402-1),IFERROR(MAX(1,ROUNDUP(NPER(D401/12,-F401,E402),0)),$K$6-(B402-1))))</f>
        <v>0</v>
      </c>
      <c r="L402" s="21">
        <f>YEAR(C402)</f>
        <v>2059</v>
      </c>
      <c r="N402" s="25">
        <f>R401</f>
        <v>3.171862772433087e-11</v>
      </c>
      <c r="O402" s="25">
        <f>IF(N402&lt;=0.005,0,IF(D402&lt;&gt;D401,PMT(D402/12,Hipoteca!$C$5*12-(B402-1),-N402),O401))</f>
        <v>0</v>
      </c>
      <c r="P402" s="25">
        <f>N402*D402/12</f>
        <v>7.665335033379962e-14</v>
      </c>
      <c r="Q402" s="25">
        <f>IF(N402&lt;=0.005,0,MIN(N402,O402-P402))</f>
        <v>0</v>
      </c>
      <c r="R402" s="25">
        <f>MAX(0,N402-Q402)</f>
        <v>3.171862772433087e-11</v>
      </c>
    </row>
    <row r="403" spans="2:18" ht="18" customHeight="1">
      <c r="B403" s="21">
        <f>ROW()-5</f>
        <v>398</v>
      </c>
      <c r="C403" s="22">
        <f>EDATE(Hipoteca!$C$7,B403-1)</f>
        <v>58410.0</v>
      </c>
      <c r="D403" s="23">
        <f>IFERROR(LOOKUP(2,1/((Hipoteca!$E$4:$E$9&lt;&gt;"")*(Hipoteca!$E$4:$E$9&lt;=C403)),Hipoteca!$F$4:$F$9),Hipoteca!$C$6)</f>
        <v>0.029</v>
      </c>
      <c r="E403" s="24">
        <f>J402</f>
        <v>0</v>
      </c>
      <c r="F403" s="24">
        <f>IF(E403&lt;=0.005,0,MIN(E403*(1+D403/12),IF(OR(Hipoteca!$C$8="Reducir cuota",D403&lt;&gt;D402),PMT(D403/12,K403,-E403),F402)))</f>
        <v>0</v>
      </c>
      <c r="G403" s="24">
        <f>E403*D403/12</f>
        <v>0</v>
      </c>
      <c r="H403" s="24">
        <f>IF(E403&lt;=0.005,0,MIN(E403,F403-G403))</f>
        <v>0</v>
      </c>
      <c r="I403" s="24">
        <f>MIN(E403-H403,SUMPRODUCT((YEAR(Hipoteca!$H$4:$H$15)=YEAR(C403))*(MONTH(Hipoteca!$H$4:$H$15)=MONTH(C403))*(Hipoteca!$H$4:$H$15&lt;&gt;"")*Hipoteca!$I$4:$I$15))</f>
        <v>0</v>
      </c>
      <c r="J403" s="24">
        <f>MAX(0,E403-H403-I403)</f>
        <v>0</v>
      </c>
      <c r="K403" s="21">
        <f>IF(E403&lt;=0.005,0,IF(Hipoteca!$C$8="Reducir cuota",$K$6-(B403-1),IFERROR(MAX(1,ROUNDUP(NPER(D402/12,-F402,E403),0)),$K$6-(B403-1))))</f>
        <v>0</v>
      </c>
      <c r="L403" s="21">
        <f>YEAR(C403)</f>
        <v>2059</v>
      </c>
      <c r="N403" s="25">
        <f>R402</f>
        <v>3.171862772433087e-11</v>
      </c>
      <c r="O403" s="25">
        <f>IF(N403&lt;=0.005,0,IF(D403&lt;&gt;D402,PMT(D403/12,Hipoteca!$C$5*12-(B403-1),-N403),O402))</f>
        <v>0</v>
      </c>
      <c r="P403" s="25">
        <f>N403*D403/12</f>
        <v>7.665335033379962e-14</v>
      </c>
      <c r="Q403" s="25">
        <f>IF(N403&lt;=0.005,0,MIN(N403,O403-P403))</f>
        <v>0</v>
      </c>
      <c r="R403" s="25">
        <f>MAX(0,N403-Q403)</f>
        <v>3.171862772433087e-11</v>
      </c>
    </row>
    <row r="404" spans="2:18" ht="18" customHeight="1">
      <c r="B404" s="21">
        <f>ROW()-5</f>
        <v>399</v>
      </c>
      <c r="C404" s="22">
        <f>EDATE(Hipoteca!$C$7,B404-1)</f>
        <v>58441.0</v>
      </c>
      <c r="D404" s="23">
        <f>IFERROR(LOOKUP(2,1/((Hipoteca!$E$4:$E$9&lt;&gt;"")*(Hipoteca!$E$4:$E$9&lt;=C404)),Hipoteca!$F$4:$F$9),Hipoteca!$C$6)</f>
        <v>0.029</v>
      </c>
      <c r="E404" s="24">
        <f>J403</f>
        <v>0</v>
      </c>
      <c r="F404" s="24">
        <f>IF(E404&lt;=0.005,0,MIN(E404*(1+D404/12),IF(OR(Hipoteca!$C$8="Reducir cuota",D404&lt;&gt;D403),PMT(D404/12,K404,-E404),F403)))</f>
        <v>0</v>
      </c>
      <c r="G404" s="24">
        <f>E404*D404/12</f>
        <v>0</v>
      </c>
      <c r="H404" s="24">
        <f>IF(E404&lt;=0.005,0,MIN(E404,F404-G404))</f>
        <v>0</v>
      </c>
      <c r="I404" s="24">
        <f>MIN(E404-H404,SUMPRODUCT((YEAR(Hipoteca!$H$4:$H$15)=YEAR(C404))*(MONTH(Hipoteca!$H$4:$H$15)=MONTH(C404))*(Hipoteca!$H$4:$H$15&lt;&gt;"")*Hipoteca!$I$4:$I$15))</f>
        <v>0</v>
      </c>
      <c r="J404" s="24">
        <f>MAX(0,E404-H404-I404)</f>
        <v>0</v>
      </c>
      <c r="K404" s="21">
        <f>IF(E404&lt;=0.005,0,IF(Hipoteca!$C$8="Reducir cuota",$K$6-(B404-1),IFERROR(MAX(1,ROUNDUP(NPER(D403/12,-F403,E404),0)),$K$6-(B404-1))))</f>
        <v>0</v>
      </c>
      <c r="L404" s="21">
        <f>YEAR(C404)</f>
        <v>2060</v>
      </c>
      <c r="N404" s="25">
        <f>R403</f>
        <v>3.171862772433087e-11</v>
      </c>
      <c r="O404" s="25">
        <f>IF(N404&lt;=0.005,0,IF(D404&lt;&gt;D403,PMT(D404/12,Hipoteca!$C$5*12-(B404-1),-N404),O403))</f>
        <v>0</v>
      </c>
      <c r="P404" s="25">
        <f>N404*D404/12</f>
        <v>7.665335033379962e-14</v>
      </c>
      <c r="Q404" s="25">
        <f>IF(N404&lt;=0.005,0,MIN(N404,O404-P404))</f>
        <v>0</v>
      </c>
      <c r="R404" s="25">
        <f>MAX(0,N404-Q404)</f>
        <v>3.171862772433087e-11</v>
      </c>
    </row>
    <row r="405" spans="2:18" ht="18" customHeight="1">
      <c r="B405" s="21">
        <f>ROW()-5</f>
        <v>400</v>
      </c>
      <c r="C405" s="22">
        <f>EDATE(Hipoteca!$C$7,B405-1)</f>
        <v>58472.0</v>
      </c>
      <c r="D405" s="23">
        <f>IFERROR(LOOKUP(2,1/((Hipoteca!$E$4:$E$9&lt;&gt;"")*(Hipoteca!$E$4:$E$9&lt;=C405)),Hipoteca!$F$4:$F$9),Hipoteca!$C$6)</f>
        <v>0.029</v>
      </c>
      <c r="E405" s="24">
        <f>J404</f>
        <v>0</v>
      </c>
      <c r="F405" s="24">
        <f>IF(E405&lt;=0.005,0,MIN(E405*(1+D405/12),IF(OR(Hipoteca!$C$8="Reducir cuota",D405&lt;&gt;D404),PMT(D405/12,K405,-E405),F404)))</f>
        <v>0</v>
      </c>
      <c r="G405" s="24">
        <f>E405*D405/12</f>
        <v>0</v>
      </c>
      <c r="H405" s="24">
        <f>IF(E405&lt;=0.005,0,MIN(E405,F405-G405))</f>
        <v>0</v>
      </c>
      <c r="I405" s="24">
        <f>MIN(E405-H405,SUMPRODUCT((YEAR(Hipoteca!$H$4:$H$15)=YEAR(C405))*(MONTH(Hipoteca!$H$4:$H$15)=MONTH(C405))*(Hipoteca!$H$4:$H$15&lt;&gt;"")*Hipoteca!$I$4:$I$15))</f>
        <v>0</v>
      </c>
      <c r="J405" s="24">
        <f>MAX(0,E405-H405-I405)</f>
        <v>0</v>
      </c>
      <c r="K405" s="21">
        <f>IF(E405&lt;=0.005,0,IF(Hipoteca!$C$8="Reducir cuota",$K$6-(B405-1),IFERROR(MAX(1,ROUNDUP(NPER(D404/12,-F404,E405),0)),$K$6-(B405-1))))</f>
        <v>0</v>
      </c>
      <c r="L405" s="21">
        <f>YEAR(C405)</f>
        <v>2060</v>
      </c>
      <c r="N405" s="25">
        <f>R404</f>
        <v>3.171862772433087e-11</v>
      </c>
      <c r="O405" s="25">
        <f>IF(N405&lt;=0.005,0,IF(D405&lt;&gt;D404,PMT(D405/12,Hipoteca!$C$5*12-(B405-1),-N405),O404))</f>
        <v>0</v>
      </c>
      <c r="P405" s="25">
        <f>N405*D405/12</f>
        <v>7.665335033379962e-14</v>
      </c>
      <c r="Q405" s="25">
        <f>IF(N405&lt;=0.005,0,MIN(N405,O405-P405))</f>
        <v>0</v>
      </c>
      <c r="R405" s="25">
        <f>MAX(0,N405-Q405)</f>
        <v>3.171862772433087e-11</v>
      </c>
    </row>
    <row r="406" spans="2:18" ht="18" customHeight="1">
      <c r="B406" s="21">
        <f>ROW()-5</f>
        <v>401</v>
      </c>
      <c r="C406" s="22">
        <f>EDATE(Hipoteca!$C$7,B406-1)</f>
        <v>58501.0</v>
      </c>
      <c r="D406" s="23">
        <f>IFERROR(LOOKUP(2,1/((Hipoteca!$E$4:$E$9&lt;&gt;"")*(Hipoteca!$E$4:$E$9&lt;=C406)),Hipoteca!$F$4:$F$9),Hipoteca!$C$6)</f>
        <v>0.029</v>
      </c>
      <c r="E406" s="24">
        <f>J405</f>
        <v>0</v>
      </c>
      <c r="F406" s="24">
        <f>IF(E406&lt;=0.005,0,MIN(E406*(1+D406/12),IF(OR(Hipoteca!$C$8="Reducir cuota",D406&lt;&gt;D405),PMT(D406/12,K406,-E406),F405)))</f>
        <v>0</v>
      </c>
      <c r="G406" s="24">
        <f>E406*D406/12</f>
        <v>0</v>
      </c>
      <c r="H406" s="24">
        <f>IF(E406&lt;=0.005,0,MIN(E406,F406-G406))</f>
        <v>0</v>
      </c>
      <c r="I406" s="24">
        <f>MIN(E406-H406,SUMPRODUCT((YEAR(Hipoteca!$H$4:$H$15)=YEAR(C406))*(MONTH(Hipoteca!$H$4:$H$15)=MONTH(C406))*(Hipoteca!$H$4:$H$15&lt;&gt;"")*Hipoteca!$I$4:$I$15))</f>
        <v>0</v>
      </c>
      <c r="J406" s="24">
        <f>MAX(0,E406-H406-I406)</f>
        <v>0</v>
      </c>
      <c r="K406" s="21">
        <f>IF(E406&lt;=0.005,0,IF(Hipoteca!$C$8="Reducir cuota",$K$6-(B406-1),IFERROR(MAX(1,ROUNDUP(NPER(D405/12,-F405,E406),0)),$K$6-(B406-1))))</f>
        <v>0</v>
      </c>
      <c r="L406" s="21">
        <f>YEAR(C406)</f>
        <v>2060</v>
      </c>
      <c r="N406" s="25">
        <f>R405</f>
        <v>3.171862772433087e-11</v>
      </c>
      <c r="O406" s="25">
        <f>IF(N406&lt;=0.005,0,IF(D406&lt;&gt;D405,PMT(D406/12,Hipoteca!$C$5*12-(B406-1),-N406),O405))</f>
        <v>0</v>
      </c>
      <c r="P406" s="25">
        <f>N406*D406/12</f>
        <v>7.665335033379962e-14</v>
      </c>
      <c r="Q406" s="25">
        <f>IF(N406&lt;=0.005,0,MIN(N406,O406-P406))</f>
        <v>0</v>
      </c>
      <c r="R406" s="25">
        <f>MAX(0,N406-Q406)</f>
        <v>3.171862772433087e-11</v>
      </c>
    </row>
    <row r="407" spans="2:18" ht="18" customHeight="1">
      <c r="B407" s="21">
        <f>ROW()-5</f>
        <v>402</v>
      </c>
      <c r="C407" s="22">
        <f>EDATE(Hipoteca!$C$7,B407-1)</f>
        <v>58532.0</v>
      </c>
      <c r="D407" s="23">
        <f>IFERROR(LOOKUP(2,1/((Hipoteca!$E$4:$E$9&lt;&gt;"")*(Hipoteca!$E$4:$E$9&lt;=C407)),Hipoteca!$F$4:$F$9),Hipoteca!$C$6)</f>
        <v>0.029</v>
      </c>
      <c r="E407" s="24">
        <f>J406</f>
        <v>0</v>
      </c>
      <c r="F407" s="24">
        <f>IF(E407&lt;=0.005,0,MIN(E407*(1+D407/12),IF(OR(Hipoteca!$C$8="Reducir cuota",D407&lt;&gt;D406),PMT(D407/12,K407,-E407),F406)))</f>
        <v>0</v>
      </c>
      <c r="G407" s="24">
        <f>E407*D407/12</f>
        <v>0</v>
      </c>
      <c r="H407" s="24">
        <f>IF(E407&lt;=0.005,0,MIN(E407,F407-G407))</f>
        <v>0</v>
      </c>
      <c r="I407" s="24">
        <f>MIN(E407-H407,SUMPRODUCT((YEAR(Hipoteca!$H$4:$H$15)=YEAR(C407))*(MONTH(Hipoteca!$H$4:$H$15)=MONTH(C407))*(Hipoteca!$H$4:$H$15&lt;&gt;"")*Hipoteca!$I$4:$I$15))</f>
        <v>0</v>
      </c>
      <c r="J407" s="24">
        <f>MAX(0,E407-H407-I407)</f>
        <v>0</v>
      </c>
      <c r="K407" s="21">
        <f>IF(E407&lt;=0.005,0,IF(Hipoteca!$C$8="Reducir cuota",$K$6-(B407-1),IFERROR(MAX(1,ROUNDUP(NPER(D406/12,-F406,E407),0)),$K$6-(B407-1))))</f>
        <v>0</v>
      </c>
      <c r="L407" s="21">
        <f>YEAR(C407)</f>
        <v>2060</v>
      </c>
      <c r="N407" s="25">
        <f>R406</f>
        <v>3.171862772433087e-11</v>
      </c>
      <c r="O407" s="25">
        <f>IF(N407&lt;=0.005,0,IF(D407&lt;&gt;D406,PMT(D407/12,Hipoteca!$C$5*12-(B407-1),-N407),O406))</f>
        <v>0</v>
      </c>
      <c r="P407" s="25">
        <f>N407*D407/12</f>
        <v>7.665335033379962e-14</v>
      </c>
      <c r="Q407" s="25">
        <f>IF(N407&lt;=0.005,0,MIN(N407,O407-P407))</f>
        <v>0</v>
      </c>
      <c r="R407" s="25">
        <f>MAX(0,N407-Q407)</f>
        <v>3.171862772433087e-11</v>
      </c>
    </row>
    <row r="408" spans="2:18" ht="18" customHeight="1">
      <c r="B408" s="21">
        <f>ROW()-5</f>
        <v>403</v>
      </c>
      <c r="C408" s="22">
        <f>EDATE(Hipoteca!$C$7,B408-1)</f>
        <v>58562.0</v>
      </c>
      <c r="D408" s="23">
        <f>IFERROR(LOOKUP(2,1/((Hipoteca!$E$4:$E$9&lt;&gt;"")*(Hipoteca!$E$4:$E$9&lt;=C408)),Hipoteca!$F$4:$F$9),Hipoteca!$C$6)</f>
        <v>0.029</v>
      </c>
      <c r="E408" s="24">
        <f>J407</f>
        <v>0</v>
      </c>
      <c r="F408" s="24">
        <f>IF(E408&lt;=0.005,0,MIN(E408*(1+D408/12),IF(OR(Hipoteca!$C$8="Reducir cuota",D408&lt;&gt;D407),PMT(D408/12,K408,-E408),F407)))</f>
        <v>0</v>
      </c>
      <c r="G408" s="24">
        <f>E408*D408/12</f>
        <v>0</v>
      </c>
      <c r="H408" s="24">
        <f>IF(E408&lt;=0.005,0,MIN(E408,F408-G408))</f>
        <v>0</v>
      </c>
      <c r="I408" s="24">
        <f>MIN(E408-H408,SUMPRODUCT((YEAR(Hipoteca!$H$4:$H$15)=YEAR(C408))*(MONTH(Hipoteca!$H$4:$H$15)=MONTH(C408))*(Hipoteca!$H$4:$H$15&lt;&gt;"")*Hipoteca!$I$4:$I$15))</f>
        <v>0</v>
      </c>
      <c r="J408" s="24">
        <f>MAX(0,E408-H408-I408)</f>
        <v>0</v>
      </c>
      <c r="K408" s="21">
        <f>IF(E408&lt;=0.005,0,IF(Hipoteca!$C$8="Reducir cuota",$K$6-(B408-1),IFERROR(MAX(1,ROUNDUP(NPER(D407/12,-F407,E408),0)),$K$6-(B408-1))))</f>
        <v>0</v>
      </c>
      <c r="L408" s="21">
        <f>YEAR(C408)</f>
        <v>2060</v>
      </c>
      <c r="N408" s="25">
        <f>R407</f>
        <v>3.171862772433087e-11</v>
      </c>
      <c r="O408" s="25">
        <f>IF(N408&lt;=0.005,0,IF(D408&lt;&gt;D407,PMT(D408/12,Hipoteca!$C$5*12-(B408-1),-N408),O407))</f>
        <v>0</v>
      </c>
      <c r="P408" s="25">
        <f>N408*D408/12</f>
        <v>7.665335033379962e-14</v>
      </c>
      <c r="Q408" s="25">
        <f>IF(N408&lt;=0.005,0,MIN(N408,O408-P408))</f>
        <v>0</v>
      </c>
      <c r="R408" s="25">
        <f>MAX(0,N408-Q408)</f>
        <v>3.171862772433087e-11</v>
      </c>
    </row>
    <row r="409" spans="2:18" ht="18" customHeight="1">
      <c r="B409" s="21">
        <f>ROW()-5</f>
        <v>404</v>
      </c>
      <c r="C409" s="22">
        <f>EDATE(Hipoteca!$C$7,B409-1)</f>
        <v>58593.0</v>
      </c>
      <c r="D409" s="23">
        <f>IFERROR(LOOKUP(2,1/((Hipoteca!$E$4:$E$9&lt;&gt;"")*(Hipoteca!$E$4:$E$9&lt;=C409)),Hipoteca!$F$4:$F$9),Hipoteca!$C$6)</f>
        <v>0.029</v>
      </c>
      <c r="E409" s="24">
        <f>J408</f>
        <v>0</v>
      </c>
      <c r="F409" s="24">
        <f>IF(E409&lt;=0.005,0,MIN(E409*(1+D409/12),IF(OR(Hipoteca!$C$8="Reducir cuota",D409&lt;&gt;D408),PMT(D409/12,K409,-E409),F408)))</f>
        <v>0</v>
      </c>
      <c r="G409" s="24">
        <f>E409*D409/12</f>
        <v>0</v>
      </c>
      <c r="H409" s="24">
        <f>IF(E409&lt;=0.005,0,MIN(E409,F409-G409))</f>
        <v>0</v>
      </c>
      <c r="I409" s="24">
        <f>MIN(E409-H409,SUMPRODUCT((YEAR(Hipoteca!$H$4:$H$15)=YEAR(C409))*(MONTH(Hipoteca!$H$4:$H$15)=MONTH(C409))*(Hipoteca!$H$4:$H$15&lt;&gt;"")*Hipoteca!$I$4:$I$15))</f>
        <v>0</v>
      </c>
      <c r="J409" s="24">
        <f>MAX(0,E409-H409-I409)</f>
        <v>0</v>
      </c>
      <c r="K409" s="21">
        <f>IF(E409&lt;=0.005,0,IF(Hipoteca!$C$8="Reducir cuota",$K$6-(B409-1),IFERROR(MAX(1,ROUNDUP(NPER(D408/12,-F408,E409),0)),$K$6-(B409-1))))</f>
        <v>0</v>
      </c>
      <c r="L409" s="21">
        <f>YEAR(C409)</f>
        <v>2060</v>
      </c>
      <c r="N409" s="25">
        <f>R408</f>
        <v>3.171862772433087e-11</v>
      </c>
      <c r="O409" s="25">
        <f>IF(N409&lt;=0.005,0,IF(D409&lt;&gt;D408,PMT(D409/12,Hipoteca!$C$5*12-(B409-1),-N409),O408))</f>
        <v>0</v>
      </c>
      <c r="P409" s="25">
        <f>N409*D409/12</f>
        <v>7.665335033379962e-14</v>
      </c>
      <c r="Q409" s="25">
        <f>IF(N409&lt;=0.005,0,MIN(N409,O409-P409))</f>
        <v>0</v>
      </c>
      <c r="R409" s="25">
        <f>MAX(0,N409-Q409)</f>
        <v>3.171862772433087e-11</v>
      </c>
    </row>
    <row r="410" spans="2:18" ht="18" customHeight="1">
      <c r="B410" s="21">
        <f>ROW()-5</f>
        <v>405</v>
      </c>
      <c r="C410" s="22">
        <f>EDATE(Hipoteca!$C$7,B410-1)</f>
        <v>58623.0</v>
      </c>
      <c r="D410" s="23">
        <f>IFERROR(LOOKUP(2,1/((Hipoteca!$E$4:$E$9&lt;&gt;"")*(Hipoteca!$E$4:$E$9&lt;=C410)),Hipoteca!$F$4:$F$9),Hipoteca!$C$6)</f>
        <v>0.029</v>
      </c>
      <c r="E410" s="24">
        <f>J409</f>
        <v>0</v>
      </c>
      <c r="F410" s="24">
        <f>IF(E410&lt;=0.005,0,MIN(E410*(1+D410/12),IF(OR(Hipoteca!$C$8="Reducir cuota",D410&lt;&gt;D409),PMT(D410/12,K410,-E410),F409)))</f>
        <v>0</v>
      </c>
      <c r="G410" s="24">
        <f>E410*D410/12</f>
        <v>0</v>
      </c>
      <c r="H410" s="24">
        <f>IF(E410&lt;=0.005,0,MIN(E410,F410-G410))</f>
        <v>0</v>
      </c>
      <c r="I410" s="24">
        <f>MIN(E410-H410,SUMPRODUCT((YEAR(Hipoteca!$H$4:$H$15)=YEAR(C410))*(MONTH(Hipoteca!$H$4:$H$15)=MONTH(C410))*(Hipoteca!$H$4:$H$15&lt;&gt;"")*Hipoteca!$I$4:$I$15))</f>
        <v>0</v>
      </c>
      <c r="J410" s="24">
        <f>MAX(0,E410-H410-I410)</f>
        <v>0</v>
      </c>
      <c r="K410" s="21">
        <f>IF(E410&lt;=0.005,0,IF(Hipoteca!$C$8="Reducir cuota",$K$6-(B410-1),IFERROR(MAX(1,ROUNDUP(NPER(D409/12,-F409,E410),0)),$K$6-(B410-1))))</f>
        <v>0</v>
      </c>
      <c r="L410" s="21">
        <f>YEAR(C410)</f>
        <v>2060</v>
      </c>
      <c r="N410" s="25">
        <f>R409</f>
        <v>3.171862772433087e-11</v>
      </c>
      <c r="O410" s="25">
        <f>IF(N410&lt;=0.005,0,IF(D410&lt;&gt;D409,PMT(D410/12,Hipoteca!$C$5*12-(B410-1),-N410),O409))</f>
        <v>0</v>
      </c>
      <c r="P410" s="25">
        <f>N410*D410/12</f>
        <v>7.665335033379962e-14</v>
      </c>
      <c r="Q410" s="25">
        <f>IF(N410&lt;=0.005,0,MIN(N410,O410-P410))</f>
        <v>0</v>
      </c>
      <c r="R410" s="25">
        <f>MAX(0,N410-Q410)</f>
        <v>3.171862772433087e-11</v>
      </c>
    </row>
    <row r="411" spans="2:18" ht="18" customHeight="1">
      <c r="B411" s="21">
        <f>ROW()-5</f>
        <v>406</v>
      </c>
      <c r="C411" s="22">
        <f>EDATE(Hipoteca!$C$7,B411-1)</f>
        <v>58654.0</v>
      </c>
      <c r="D411" s="23">
        <f>IFERROR(LOOKUP(2,1/((Hipoteca!$E$4:$E$9&lt;&gt;"")*(Hipoteca!$E$4:$E$9&lt;=C411)),Hipoteca!$F$4:$F$9),Hipoteca!$C$6)</f>
        <v>0.029</v>
      </c>
      <c r="E411" s="24">
        <f>J410</f>
        <v>0</v>
      </c>
      <c r="F411" s="24">
        <f>IF(E411&lt;=0.005,0,MIN(E411*(1+D411/12),IF(OR(Hipoteca!$C$8="Reducir cuota",D411&lt;&gt;D410),PMT(D411/12,K411,-E411),F410)))</f>
        <v>0</v>
      </c>
      <c r="G411" s="24">
        <f>E411*D411/12</f>
        <v>0</v>
      </c>
      <c r="H411" s="24">
        <f>IF(E411&lt;=0.005,0,MIN(E411,F411-G411))</f>
        <v>0</v>
      </c>
      <c r="I411" s="24">
        <f>MIN(E411-H411,SUMPRODUCT((YEAR(Hipoteca!$H$4:$H$15)=YEAR(C411))*(MONTH(Hipoteca!$H$4:$H$15)=MONTH(C411))*(Hipoteca!$H$4:$H$15&lt;&gt;"")*Hipoteca!$I$4:$I$15))</f>
        <v>0</v>
      </c>
      <c r="J411" s="24">
        <f>MAX(0,E411-H411-I411)</f>
        <v>0</v>
      </c>
      <c r="K411" s="21">
        <f>IF(E411&lt;=0.005,0,IF(Hipoteca!$C$8="Reducir cuota",$K$6-(B411-1),IFERROR(MAX(1,ROUNDUP(NPER(D410/12,-F410,E411),0)),$K$6-(B411-1))))</f>
        <v>0</v>
      </c>
      <c r="L411" s="21">
        <f>YEAR(C411)</f>
        <v>2060</v>
      </c>
      <c r="N411" s="25">
        <f>R410</f>
        <v>3.171862772433087e-11</v>
      </c>
      <c r="O411" s="25">
        <f>IF(N411&lt;=0.005,0,IF(D411&lt;&gt;D410,PMT(D411/12,Hipoteca!$C$5*12-(B411-1),-N411),O410))</f>
        <v>0</v>
      </c>
      <c r="P411" s="25">
        <f>N411*D411/12</f>
        <v>7.665335033379962e-14</v>
      </c>
      <c r="Q411" s="25">
        <f>IF(N411&lt;=0.005,0,MIN(N411,O411-P411))</f>
        <v>0</v>
      </c>
      <c r="R411" s="25">
        <f>MAX(0,N411-Q411)</f>
        <v>3.171862772433087e-11</v>
      </c>
    </row>
    <row r="412" spans="2:18" ht="18" customHeight="1">
      <c r="B412" s="21">
        <f>ROW()-5</f>
        <v>407</v>
      </c>
      <c r="C412" s="22">
        <f>EDATE(Hipoteca!$C$7,B412-1)</f>
        <v>58685.0</v>
      </c>
      <c r="D412" s="23">
        <f>IFERROR(LOOKUP(2,1/((Hipoteca!$E$4:$E$9&lt;&gt;"")*(Hipoteca!$E$4:$E$9&lt;=C412)),Hipoteca!$F$4:$F$9),Hipoteca!$C$6)</f>
        <v>0.029</v>
      </c>
      <c r="E412" s="24">
        <f>J411</f>
        <v>0</v>
      </c>
      <c r="F412" s="24">
        <f>IF(E412&lt;=0.005,0,MIN(E412*(1+D412/12),IF(OR(Hipoteca!$C$8="Reducir cuota",D412&lt;&gt;D411),PMT(D412/12,K412,-E412),F411)))</f>
        <v>0</v>
      </c>
      <c r="G412" s="24">
        <f>E412*D412/12</f>
        <v>0</v>
      </c>
      <c r="H412" s="24">
        <f>IF(E412&lt;=0.005,0,MIN(E412,F412-G412))</f>
        <v>0</v>
      </c>
      <c r="I412" s="24">
        <f>MIN(E412-H412,SUMPRODUCT((YEAR(Hipoteca!$H$4:$H$15)=YEAR(C412))*(MONTH(Hipoteca!$H$4:$H$15)=MONTH(C412))*(Hipoteca!$H$4:$H$15&lt;&gt;"")*Hipoteca!$I$4:$I$15))</f>
        <v>0</v>
      </c>
      <c r="J412" s="24">
        <f>MAX(0,E412-H412-I412)</f>
        <v>0</v>
      </c>
      <c r="K412" s="21">
        <f>IF(E412&lt;=0.005,0,IF(Hipoteca!$C$8="Reducir cuota",$K$6-(B412-1),IFERROR(MAX(1,ROUNDUP(NPER(D411/12,-F411,E412),0)),$K$6-(B412-1))))</f>
        <v>0</v>
      </c>
      <c r="L412" s="21">
        <f>YEAR(C412)</f>
        <v>2060</v>
      </c>
      <c r="N412" s="25">
        <f>R411</f>
        <v>3.171862772433087e-11</v>
      </c>
      <c r="O412" s="25">
        <f>IF(N412&lt;=0.005,0,IF(D412&lt;&gt;D411,PMT(D412/12,Hipoteca!$C$5*12-(B412-1),-N412),O411))</f>
        <v>0</v>
      </c>
      <c r="P412" s="25">
        <f>N412*D412/12</f>
        <v>7.665335033379962e-14</v>
      </c>
      <c r="Q412" s="25">
        <f>IF(N412&lt;=0.005,0,MIN(N412,O412-P412))</f>
        <v>0</v>
      </c>
      <c r="R412" s="25">
        <f>MAX(0,N412-Q412)</f>
        <v>3.171862772433087e-11</v>
      </c>
    </row>
    <row r="413" spans="2:18" ht="18" customHeight="1">
      <c r="B413" s="21">
        <f>ROW()-5</f>
        <v>408</v>
      </c>
      <c r="C413" s="22">
        <f>EDATE(Hipoteca!$C$7,B413-1)</f>
        <v>58715.0</v>
      </c>
      <c r="D413" s="23">
        <f>IFERROR(LOOKUP(2,1/((Hipoteca!$E$4:$E$9&lt;&gt;"")*(Hipoteca!$E$4:$E$9&lt;=C413)),Hipoteca!$F$4:$F$9),Hipoteca!$C$6)</f>
        <v>0.029</v>
      </c>
      <c r="E413" s="24">
        <f>J412</f>
        <v>0</v>
      </c>
      <c r="F413" s="24">
        <f>IF(E413&lt;=0.005,0,MIN(E413*(1+D413/12),IF(OR(Hipoteca!$C$8="Reducir cuota",D413&lt;&gt;D412),PMT(D413/12,K413,-E413),F412)))</f>
        <v>0</v>
      </c>
      <c r="G413" s="24">
        <f>E413*D413/12</f>
        <v>0</v>
      </c>
      <c r="H413" s="24">
        <f>IF(E413&lt;=0.005,0,MIN(E413,F413-G413))</f>
        <v>0</v>
      </c>
      <c r="I413" s="24">
        <f>MIN(E413-H413,SUMPRODUCT((YEAR(Hipoteca!$H$4:$H$15)=YEAR(C413))*(MONTH(Hipoteca!$H$4:$H$15)=MONTH(C413))*(Hipoteca!$H$4:$H$15&lt;&gt;"")*Hipoteca!$I$4:$I$15))</f>
        <v>0</v>
      </c>
      <c r="J413" s="24">
        <f>MAX(0,E413-H413-I413)</f>
        <v>0</v>
      </c>
      <c r="K413" s="21">
        <f>IF(E413&lt;=0.005,0,IF(Hipoteca!$C$8="Reducir cuota",$K$6-(B413-1),IFERROR(MAX(1,ROUNDUP(NPER(D412/12,-F412,E413),0)),$K$6-(B413-1))))</f>
        <v>0</v>
      </c>
      <c r="L413" s="21">
        <f>YEAR(C413)</f>
        <v>2060</v>
      </c>
      <c r="N413" s="25">
        <f>R412</f>
        <v>3.171862772433087e-11</v>
      </c>
      <c r="O413" s="25">
        <f>IF(N413&lt;=0.005,0,IF(D413&lt;&gt;D412,PMT(D413/12,Hipoteca!$C$5*12-(B413-1),-N413),O412))</f>
        <v>0</v>
      </c>
      <c r="P413" s="25">
        <f>N413*D413/12</f>
        <v>7.665335033379962e-14</v>
      </c>
      <c r="Q413" s="25">
        <f>IF(N413&lt;=0.005,0,MIN(N413,O413-P413))</f>
        <v>0</v>
      </c>
      <c r="R413" s="25">
        <f>MAX(0,N413-Q413)</f>
        <v>3.171862772433087e-11</v>
      </c>
    </row>
    <row r="414" spans="2:18" ht="18" customHeight="1">
      <c r="B414" s="21">
        <f>ROW()-5</f>
        <v>409</v>
      </c>
      <c r="C414" s="22">
        <f>EDATE(Hipoteca!$C$7,B414-1)</f>
        <v>58746.0</v>
      </c>
      <c r="D414" s="23">
        <f>IFERROR(LOOKUP(2,1/((Hipoteca!$E$4:$E$9&lt;&gt;"")*(Hipoteca!$E$4:$E$9&lt;=C414)),Hipoteca!$F$4:$F$9),Hipoteca!$C$6)</f>
        <v>0.029</v>
      </c>
      <c r="E414" s="24">
        <f>J413</f>
        <v>0</v>
      </c>
      <c r="F414" s="24">
        <f>IF(E414&lt;=0.005,0,MIN(E414*(1+D414/12),IF(OR(Hipoteca!$C$8="Reducir cuota",D414&lt;&gt;D413),PMT(D414/12,K414,-E414),F413)))</f>
        <v>0</v>
      </c>
      <c r="G414" s="24">
        <f>E414*D414/12</f>
        <v>0</v>
      </c>
      <c r="H414" s="24">
        <f>IF(E414&lt;=0.005,0,MIN(E414,F414-G414))</f>
        <v>0</v>
      </c>
      <c r="I414" s="24">
        <f>MIN(E414-H414,SUMPRODUCT((YEAR(Hipoteca!$H$4:$H$15)=YEAR(C414))*(MONTH(Hipoteca!$H$4:$H$15)=MONTH(C414))*(Hipoteca!$H$4:$H$15&lt;&gt;"")*Hipoteca!$I$4:$I$15))</f>
        <v>0</v>
      </c>
      <c r="J414" s="24">
        <f>MAX(0,E414-H414-I414)</f>
        <v>0</v>
      </c>
      <c r="K414" s="21">
        <f>IF(E414&lt;=0.005,0,IF(Hipoteca!$C$8="Reducir cuota",$K$6-(B414-1),IFERROR(MAX(1,ROUNDUP(NPER(D413/12,-F413,E414),0)),$K$6-(B414-1))))</f>
        <v>0</v>
      </c>
      <c r="L414" s="21">
        <f>YEAR(C414)</f>
        <v>2060</v>
      </c>
      <c r="N414" s="25">
        <f>R413</f>
        <v>3.171862772433087e-11</v>
      </c>
      <c r="O414" s="25">
        <f>IF(N414&lt;=0.005,0,IF(D414&lt;&gt;D413,PMT(D414/12,Hipoteca!$C$5*12-(B414-1),-N414),O413))</f>
        <v>0</v>
      </c>
      <c r="P414" s="25">
        <f>N414*D414/12</f>
        <v>7.665335033379962e-14</v>
      </c>
      <c r="Q414" s="25">
        <f>IF(N414&lt;=0.005,0,MIN(N414,O414-P414))</f>
        <v>0</v>
      </c>
      <c r="R414" s="25">
        <f>MAX(0,N414-Q414)</f>
        <v>3.171862772433087e-11</v>
      </c>
    </row>
    <row r="415" spans="2:18" ht="18" customHeight="1">
      <c r="B415" s="21">
        <f>ROW()-5</f>
        <v>410</v>
      </c>
      <c r="C415" s="22">
        <f>EDATE(Hipoteca!$C$7,B415-1)</f>
        <v>58776.0</v>
      </c>
      <c r="D415" s="23">
        <f>IFERROR(LOOKUP(2,1/((Hipoteca!$E$4:$E$9&lt;&gt;"")*(Hipoteca!$E$4:$E$9&lt;=C415)),Hipoteca!$F$4:$F$9),Hipoteca!$C$6)</f>
        <v>0.029</v>
      </c>
      <c r="E415" s="24">
        <f>J414</f>
        <v>0</v>
      </c>
      <c r="F415" s="24">
        <f>IF(E415&lt;=0.005,0,MIN(E415*(1+D415/12),IF(OR(Hipoteca!$C$8="Reducir cuota",D415&lt;&gt;D414),PMT(D415/12,K415,-E415),F414)))</f>
        <v>0</v>
      </c>
      <c r="G415" s="24">
        <f>E415*D415/12</f>
        <v>0</v>
      </c>
      <c r="H415" s="24">
        <f>IF(E415&lt;=0.005,0,MIN(E415,F415-G415))</f>
        <v>0</v>
      </c>
      <c r="I415" s="24">
        <f>MIN(E415-H415,SUMPRODUCT((YEAR(Hipoteca!$H$4:$H$15)=YEAR(C415))*(MONTH(Hipoteca!$H$4:$H$15)=MONTH(C415))*(Hipoteca!$H$4:$H$15&lt;&gt;"")*Hipoteca!$I$4:$I$15))</f>
        <v>0</v>
      </c>
      <c r="J415" s="24">
        <f>MAX(0,E415-H415-I415)</f>
        <v>0</v>
      </c>
      <c r="K415" s="21">
        <f>IF(E415&lt;=0.005,0,IF(Hipoteca!$C$8="Reducir cuota",$K$6-(B415-1),IFERROR(MAX(1,ROUNDUP(NPER(D414/12,-F414,E415),0)),$K$6-(B415-1))))</f>
        <v>0</v>
      </c>
      <c r="L415" s="21">
        <f>YEAR(C415)</f>
        <v>2060</v>
      </c>
      <c r="N415" s="25">
        <f>R414</f>
        <v>3.171862772433087e-11</v>
      </c>
      <c r="O415" s="25">
        <f>IF(N415&lt;=0.005,0,IF(D415&lt;&gt;D414,PMT(D415/12,Hipoteca!$C$5*12-(B415-1),-N415),O414))</f>
        <v>0</v>
      </c>
      <c r="P415" s="25">
        <f>N415*D415/12</f>
        <v>7.665335033379962e-14</v>
      </c>
      <c r="Q415" s="25">
        <f>IF(N415&lt;=0.005,0,MIN(N415,O415-P415))</f>
        <v>0</v>
      </c>
      <c r="R415" s="25">
        <f>MAX(0,N415-Q415)</f>
        <v>3.171862772433087e-11</v>
      </c>
    </row>
    <row r="416" spans="2:18" ht="18" customHeight="1">
      <c r="B416" s="21">
        <f>ROW()-5</f>
        <v>411</v>
      </c>
      <c r="C416" s="22">
        <f>EDATE(Hipoteca!$C$7,B416-1)</f>
        <v>58807.0</v>
      </c>
      <c r="D416" s="23">
        <f>IFERROR(LOOKUP(2,1/((Hipoteca!$E$4:$E$9&lt;&gt;"")*(Hipoteca!$E$4:$E$9&lt;=C416)),Hipoteca!$F$4:$F$9),Hipoteca!$C$6)</f>
        <v>0.029</v>
      </c>
      <c r="E416" s="24">
        <f>J415</f>
        <v>0</v>
      </c>
      <c r="F416" s="24">
        <f>IF(E416&lt;=0.005,0,MIN(E416*(1+D416/12),IF(OR(Hipoteca!$C$8="Reducir cuota",D416&lt;&gt;D415),PMT(D416/12,K416,-E416),F415)))</f>
        <v>0</v>
      </c>
      <c r="G416" s="24">
        <f>E416*D416/12</f>
        <v>0</v>
      </c>
      <c r="H416" s="24">
        <f>IF(E416&lt;=0.005,0,MIN(E416,F416-G416))</f>
        <v>0</v>
      </c>
      <c r="I416" s="24">
        <f>MIN(E416-H416,SUMPRODUCT((YEAR(Hipoteca!$H$4:$H$15)=YEAR(C416))*(MONTH(Hipoteca!$H$4:$H$15)=MONTH(C416))*(Hipoteca!$H$4:$H$15&lt;&gt;"")*Hipoteca!$I$4:$I$15))</f>
        <v>0</v>
      </c>
      <c r="J416" s="24">
        <f>MAX(0,E416-H416-I416)</f>
        <v>0</v>
      </c>
      <c r="K416" s="21">
        <f>IF(E416&lt;=0.005,0,IF(Hipoteca!$C$8="Reducir cuota",$K$6-(B416-1),IFERROR(MAX(1,ROUNDUP(NPER(D415/12,-F415,E416),0)),$K$6-(B416-1))))</f>
        <v>0</v>
      </c>
      <c r="L416" s="21">
        <f>YEAR(C416)</f>
        <v>2061</v>
      </c>
      <c r="N416" s="25">
        <f>R415</f>
        <v>3.171862772433087e-11</v>
      </c>
      <c r="O416" s="25">
        <f>IF(N416&lt;=0.005,0,IF(D416&lt;&gt;D415,PMT(D416/12,Hipoteca!$C$5*12-(B416-1),-N416),O415))</f>
        <v>0</v>
      </c>
      <c r="P416" s="25">
        <f>N416*D416/12</f>
        <v>7.665335033379962e-14</v>
      </c>
      <c r="Q416" s="25">
        <f>IF(N416&lt;=0.005,0,MIN(N416,O416-P416))</f>
        <v>0</v>
      </c>
      <c r="R416" s="25">
        <f>MAX(0,N416-Q416)</f>
        <v>3.171862772433087e-11</v>
      </c>
    </row>
    <row r="417" spans="2:18" ht="18" customHeight="1">
      <c r="B417" s="21">
        <f>ROW()-5</f>
        <v>412</v>
      </c>
      <c r="C417" s="22">
        <f>EDATE(Hipoteca!$C$7,B417-1)</f>
        <v>58838.0</v>
      </c>
      <c r="D417" s="23">
        <f>IFERROR(LOOKUP(2,1/((Hipoteca!$E$4:$E$9&lt;&gt;"")*(Hipoteca!$E$4:$E$9&lt;=C417)),Hipoteca!$F$4:$F$9),Hipoteca!$C$6)</f>
        <v>0.029</v>
      </c>
      <c r="E417" s="24">
        <f>J416</f>
        <v>0</v>
      </c>
      <c r="F417" s="24">
        <f>IF(E417&lt;=0.005,0,MIN(E417*(1+D417/12),IF(OR(Hipoteca!$C$8="Reducir cuota",D417&lt;&gt;D416),PMT(D417/12,K417,-E417),F416)))</f>
        <v>0</v>
      </c>
      <c r="G417" s="24">
        <f>E417*D417/12</f>
        <v>0</v>
      </c>
      <c r="H417" s="24">
        <f>IF(E417&lt;=0.005,0,MIN(E417,F417-G417))</f>
        <v>0</v>
      </c>
      <c r="I417" s="24">
        <f>MIN(E417-H417,SUMPRODUCT((YEAR(Hipoteca!$H$4:$H$15)=YEAR(C417))*(MONTH(Hipoteca!$H$4:$H$15)=MONTH(C417))*(Hipoteca!$H$4:$H$15&lt;&gt;"")*Hipoteca!$I$4:$I$15))</f>
        <v>0</v>
      </c>
      <c r="J417" s="24">
        <f>MAX(0,E417-H417-I417)</f>
        <v>0</v>
      </c>
      <c r="K417" s="21">
        <f>IF(E417&lt;=0.005,0,IF(Hipoteca!$C$8="Reducir cuota",$K$6-(B417-1),IFERROR(MAX(1,ROUNDUP(NPER(D416/12,-F416,E417),0)),$K$6-(B417-1))))</f>
        <v>0</v>
      </c>
      <c r="L417" s="21">
        <f>YEAR(C417)</f>
        <v>2061</v>
      </c>
      <c r="N417" s="25">
        <f>R416</f>
        <v>3.171862772433087e-11</v>
      </c>
      <c r="O417" s="25">
        <f>IF(N417&lt;=0.005,0,IF(D417&lt;&gt;D416,PMT(D417/12,Hipoteca!$C$5*12-(B417-1),-N417),O416))</f>
        <v>0</v>
      </c>
      <c r="P417" s="25">
        <f>N417*D417/12</f>
        <v>7.665335033379962e-14</v>
      </c>
      <c r="Q417" s="25">
        <f>IF(N417&lt;=0.005,0,MIN(N417,O417-P417))</f>
        <v>0</v>
      </c>
      <c r="R417" s="25">
        <f>MAX(0,N417-Q417)</f>
        <v>3.171862772433087e-11</v>
      </c>
    </row>
    <row r="418" spans="2:18" ht="18" customHeight="1">
      <c r="B418" s="21">
        <f>ROW()-5</f>
        <v>413</v>
      </c>
      <c r="C418" s="22">
        <f>EDATE(Hipoteca!$C$7,B418-1)</f>
        <v>58866.0</v>
      </c>
      <c r="D418" s="23">
        <f>IFERROR(LOOKUP(2,1/((Hipoteca!$E$4:$E$9&lt;&gt;"")*(Hipoteca!$E$4:$E$9&lt;=C418)),Hipoteca!$F$4:$F$9),Hipoteca!$C$6)</f>
        <v>0.029</v>
      </c>
      <c r="E418" s="24">
        <f>J417</f>
        <v>0</v>
      </c>
      <c r="F418" s="24">
        <f>IF(E418&lt;=0.005,0,MIN(E418*(1+D418/12),IF(OR(Hipoteca!$C$8="Reducir cuota",D418&lt;&gt;D417),PMT(D418/12,K418,-E418),F417)))</f>
        <v>0</v>
      </c>
      <c r="G418" s="24">
        <f>E418*D418/12</f>
        <v>0</v>
      </c>
      <c r="H418" s="24">
        <f>IF(E418&lt;=0.005,0,MIN(E418,F418-G418))</f>
        <v>0</v>
      </c>
      <c r="I418" s="24">
        <f>MIN(E418-H418,SUMPRODUCT((YEAR(Hipoteca!$H$4:$H$15)=YEAR(C418))*(MONTH(Hipoteca!$H$4:$H$15)=MONTH(C418))*(Hipoteca!$H$4:$H$15&lt;&gt;"")*Hipoteca!$I$4:$I$15))</f>
        <v>0</v>
      </c>
      <c r="J418" s="24">
        <f>MAX(0,E418-H418-I418)</f>
        <v>0</v>
      </c>
      <c r="K418" s="21">
        <f>IF(E418&lt;=0.005,0,IF(Hipoteca!$C$8="Reducir cuota",$K$6-(B418-1),IFERROR(MAX(1,ROUNDUP(NPER(D417/12,-F417,E418),0)),$K$6-(B418-1))))</f>
        <v>0</v>
      </c>
      <c r="L418" s="21">
        <f>YEAR(C418)</f>
        <v>2061</v>
      </c>
      <c r="N418" s="25">
        <f>R417</f>
        <v>3.171862772433087e-11</v>
      </c>
      <c r="O418" s="25">
        <f>IF(N418&lt;=0.005,0,IF(D418&lt;&gt;D417,PMT(D418/12,Hipoteca!$C$5*12-(B418-1),-N418),O417))</f>
        <v>0</v>
      </c>
      <c r="P418" s="25">
        <f>N418*D418/12</f>
        <v>7.665335033379962e-14</v>
      </c>
      <c r="Q418" s="25">
        <f>IF(N418&lt;=0.005,0,MIN(N418,O418-P418))</f>
        <v>0</v>
      </c>
      <c r="R418" s="25">
        <f>MAX(0,N418-Q418)</f>
        <v>3.171862772433087e-11</v>
      </c>
    </row>
    <row r="419" spans="2:18" ht="18" customHeight="1">
      <c r="B419" s="21">
        <f>ROW()-5</f>
        <v>414</v>
      </c>
      <c r="C419" s="22">
        <f>EDATE(Hipoteca!$C$7,B419-1)</f>
        <v>58897.0</v>
      </c>
      <c r="D419" s="23">
        <f>IFERROR(LOOKUP(2,1/((Hipoteca!$E$4:$E$9&lt;&gt;"")*(Hipoteca!$E$4:$E$9&lt;=C419)),Hipoteca!$F$4:$F$9),Hipoteca!$C$6)</f>
        <v>0.029</v>
      </c>
      <c r="E419" s="24">
        <f>J418</f>
        <v>0</v>
      </c>
      <c r="F419" s="24">
        <f>IF(E419&lt;=0.005,0,MIN(E419*(1+D419/12),IF(OR(Hipoteca!$C$8="Reducir cuota",D419&lt;&gt;D418),PMT(D419/12,K419,-E419),F418)))</f>
        <v>0</v>
      </c>
      <c r="G419" s="24">
        <f>E419*D419/12</f>
        <v>0</v>
      </c>
      <c r="H419" s="24">
        <f>IF(E419&lt;=0.005,0,MIN(E419,F419-G419))</f>
        <v>0</v>
      </c>
      <c r="I419" s="24">
        <f>MIN(E419-H419,SUMPRODUCT((YEAR(Hipoteca!$H$4:$H$15)=YEAR(C419))*(MONTH(Hipoteca!$H$4:$H$15)=MONTH(C419))*(Hipoteca!$H$4:$H$15&lt;&gt;"")*Hipoteca!$I$4:$I$15))</f>
        <v>0</v>
      </c>
      <c r="J419" s="24">
        <f>MAX(0,E419-H419-I419)</f>
        <v>0</v>
      </c>
      <c r="K419" s="21">
        <f>IF(E419&lt;=0.005,0,IF(Hipoteca!$C$8="Reducir cuota",$K$6-(B419-1),IFERROR(MAX(1,ROUNDUP(NPER(D418/12,-F418,E419),0)),$K$6-(B419-1))))</f>
        <v>0</v>
      </c>
      <c r="L419" s="21">
        <f>YEAR(C419)</f>
        <v>2061</v>
      </c>
      <c r="N419" s="25">
        <f>R418</f>
        <v>3.171862772433087e-11</v>
      </c>
      <c r="O419" s="25">
        <f>IF(N419&lt;=0.005,0,IF(D419&lt;&gt;D418,PMT(D419/12,Hipoteca!$C$5*12-(B419-1),-N419),O418))</f>
        <v>0</v>
      </c>
      <c r="P419" s="25">
        <f>N419*D419/12</f>
        <v>7.665335033379962e-14</v>
      </c>
      <c r="Q419" s="25">
        <f>IF(N419&lt;=0.005,0,MIN(N419,O419-P419))</f>
        <v>0</v>
      </c>
      <c r="R419" s="25">
        <f>MAX(0,N419-Q419)</f>
        <v>3.171862772433087e-11</v>
      </c>
    </row>
    <row r="420" spans="2:18" ht="18" customHeight="1">
      <c r="B420" s="21">
        <f>ROW()-5</f>
        <v>415</v>
      </c>
      <c r="C420" s="22">
        <f>EDATE(Hipoteca!$C$7,B420-1)</f>
        <v>58927.0</v>
      </c>
      <c r="D420" s="23">
        <f>IFERROR(LOOKUP(2,1/((Hipoteca!$E$4:$E$9&lt;&gt;"")*(Hipoteca!$E$4:$E$9&lt;=C420)),Hipoteca!$F$4:$F$9),Hipoteca!$C$6)</f>
        <v>0.029</v>
      </c>
      <c r="E420" s="24">
        <f>J419</f>
        <v>0</v>
      </c>
      <c r="F420" s="24">
        <f>IF(E420&lt;=0.005,0,MIN(E420*(1+D420/12),IF(OR(Hipoteca!$C$8="Reducir cuota",D420&lt;&gt;D419),PMT(D420/12,K420,-E420),F419)))</f>
        <v>0</v>
      </c>
      <c r="G420" s="24">
        <f>E420*D420/12</f>
        <v>0</v>
      </c>
      <c r="H420" s="24">
        <f>IF(E420&lt;=0.005,0,MIN(E420,F420-G420))</f>
        <v>0</v>
      </c>
      <c r="I420" s="24">
        <f>MIN(E420-H420,SUMPRODUCT((YEAR(Hipoteca!$H$4:$H$15)=YEAR(C420))*(MONTH(Hipoteca!$H$4:$H$15)=MONTH(C420))*(Hipoteca!$H$4:$H$15&lt;&gt;"")*Hipoteca!$I$4:$I$15))</f>
        <v>0</v>
      </c>
      <c r="J420" s="24">
        <f>MAX(0,E420-H420-I420)</f>
        <v>0</v>
      </c>
      <c r="K420" s="21">
        <f>IF(E420&lt;=0.005,0,IF(Hipoteca!$C$8="Reducir cuota",$K$6-(B420-1),IFERROR(MAX(1,ROUNDUP(NPER(D419/12,-F419,E420),0)),$K$6-(B420-1))))</f>
        <v>0</v>
      </c>
      <c r="L420" s="21">
        <f>YEAR(C420)</f>
        <v>2061</v>
      </c>
      <c r="N420" s="25">
        <f>R419</f>
        <v>3.171862772433087e-11</v>
      </c>
      <c r="O420" s="25">
        <f>IF(N420&lt;=0.005,0,IF(D420&lt;&gt;D419,PMT(D420/12,Hipoteca!$C$5*12-(B420-1),-N420),O419))</f>
        <v>0</v>
      </c>
      <c r="P420" s="25">
        <f>N420*D420/12</f>
        <v>7.665335033379962e-14</v>
      </c>
      <c r="Q420" s="25">
        <f>IF(N420&lt;=0.005,0,MIN(N420,O420-P420))</f>
        <v>0</v>
      </c>
      <c r="R420" s="25">
        <f>MAX(0,N420-Q420)</f>
        <v>3.171862772433087e-11</v>
      </c>
    </row>
    <row r="421" spans="2:18" ht="18" customHeight="1">
      <c r="B421" s="21">
        <f>ROW()-5</f>
        <v>416</v>
      </c>
      <c r="C421" s="22">
        <f>EDATE(Hipoteca!$C$7,B421-1)</f>
        <v>58958.0</v>
      </c>
      <c r="D421" s="23">
        <f>IFERROR(LOOKUP(2,1/((Hipoteca!$E$4:$E$9&lt;&gt;"")*(Hipoteca!$E$4:$E$9&lt;=C421)),Hipoteca!$F$4:$F$9),Hipoteca!$C$6)</f>
        <v>0.029</v>
      </c>
      <c r="E421" s="24">
        <f>J420</f>
        <v>0</v>
      </c>
      <c r="F421" s="24">
        <f>IF(E421&lt;=0.005,0,MIN(E421*(1+D421/12),IF(OR(Hipoteca!$C$8="Reducir cuota",D421&lt;&gt;D420),PMT(D421/12,K421,-E421),F420)))</f>
        <v>0</v>
      </c>
      <c r="G421" s="24">
        <f>E421*D421/12</f>
        <v>0</v>
      </c>
      <c r="H421" s="24">
        <f>IF(E421&lt;=0.005,0,MIN(E421,F421-G421))</f>
        <v>0</v>
      </c>
      <c r="I421" s="24">
        <f>MIN(E421-H421,SUMPRODUCT((YEAR(Hipoteca!$H$4:$H$15)=YEAR(C421))*(MONTH(Hipoteca!$H$4:$H$15)=MONTH(C421))*(Hipoteca!$H$4:$H$15&lt;&gt;"")*Hipoteca!$I$4:$I$15))</f>
        <v>0</v>
      </c>
      <c r="J421" s="24">
        <f>MAX(0,E421-H421-I421)</f>
        <v>0</v>
      </c>
      <c r="K421" s="21">
        <f>IF(E421&lt;=0.005,0,IF(Hipoteca!$C$8="Reducir cuota",$K$6-(B421-1),IFERROR(MAX(1,ROUNDUP(NPER(D420/12,-F420,E421),0)),$K$6-(B421-1))))</f>
        <v>0</v>
      </c>
      <c r="L421" s="21">
        <f>YEAR(C421)</f>
        <v>2061</v>
      </c>
      <c r="N421" s="25">
        <f>R420</f>
        <v>3.171862772433087e-11</v>
      </c>
      <c r="O421" s="25">
        <f>IF(N421&lt;=0.005,0,IF(D421&lt;&gt;D420,PMT(D421/12,Hipoteca!$C$5*12-(B421-1),-N421),O420))</f>
        <v>0</v>
      </c>
      <c r="P421" s="25">
        <f>N421*D421/12</f>
        <v>7.665335033379962e-14</v>
      </c>
      <c r="Q421" s="25">
        <f>IF(N421&lt;=0.005,0,MIN(N421,O421-P421))</f>
        <v>0</v>
      </c>
      <c r="R421" s="25">
        <f>MAX(0,N421-Q421)</f>
        <v>3.171862772433087e-11</v>
      </c>
    </row>
    <row r="422" spans="2:18" ht="18" customHeight="1">
      <c r="B422" s="21">
        <f>ROW()-5</f>
        <v>417</v>
      </c>
      <c r="C422" s="22">
        <f>EDATE(Hipoteca!$C$7,B422-1)</f>
        <v>58988.0</v>
      </c>
      <c r="D422" s="23">
        <f>IFERROR(LOOKUP(2,1/((Hipoteca!$E$4:$E$9&lt;&gt;"")*(Hipoteca!$E$4:$E$9&lt;=C422)),Hipoteca!$F$4:$F$9),Hipoteca!$C$6)</f>
        <v>0.029</v>
      </c>
      <c r="E422" s="24">
        <f>J421</f>
        <v>0</v>
      </c>
      <c r="F422" s="24">
        <f>IF(E422&lt;=0.005,0,MIN(E422*(1+D422/12),IF(OR(Hipoteca!$C$8="Reducir cuota",D422&lt;&gt;D421),PMT(D422/12,K422,-E422),F421)))</f>
        <v>0</v>
      </c>
      <c r="G422" s="24">
        <f>E422*D422/12</f>
        <v>0</v>
      </c>
      <c r="H422" s="24">
        <f>IF(E422&lt;=0.005,0,MIN(E422,F422-G422))</f>
        <v>0</v>
      </c>
      <c r="I422" s="24">
        <f>MIN(E422-H422,SUMPRODUCT((YEAR(Hipoteca!$H$4:$H$15)=YEAR(C422))*(MONTH(Hipoteca!$H$4:$H$15)=MONTH(C422))*(Hipoteca!$H$4:$H$15&lt;&gt;"")*Hipoteca!$I$4:$I$15))</f>
        <v>0</v>
      </c>
      <c r="J422" s="24">
        <f>MAX(0,E422-H422-I422)</f>
        <v>0</v>
      </c>
      <c r="K422" s="21">
        <f>IF(E422&lt;=0.005,0,IF(Hipoteca!$C$8="Reducir cuota",$K$6-(B422-1),IFERROR(MAX(1,ROUNDUP(NPER(D421/12,-F421,E422),0)),$K$6-(B422-1))))</f>
        <v>0</v>
      </c>
      <c r="L422" s="21">
        <f>YEAR(C422)</f>
        <v>2061</v>
      </c>
      <c r="N422" s="25">
        <f>R421</f>
        <v>3.171862772433087e-11</v>
      </c>
      <c r="O422" s="25">
        <f>IF(N422&lt;=0.005,0,IF(D422&lt;&gt;D421,PMT(D422/12,Hipoteca!$C$5*12-(B422-1),-N422),O421))</f>
        <v>0</v>
      </c>
      <c r="P422" s="25">
        <f>N422*D422/12</f>
        <v>7.665335033379962e-14</v>
      </c>
      <c r="Q422" s="25">
        <f>IF(N422&lt;=0.005,0,MIN(N422,O422-P422))</f>
        <v>0</v>
      </c>
      <c r="R422" s="25">
        <f>MAX(0,N422-Q422)</f>
        <v>3.171862772433087e-11</v>
      </c>
    </row>
    <row r="423" spans="2:18" ht="18" customHeight="1">
      <c r="B423" s="21">
        <f>ROW()-5</f>
        <v>418</v>
      </c>
      <c r="C423" s="22">
        <f>EDATE(Hipoteca!$C$7,B423-1)</f>
        <v>59019.0</v>
      </c>
      <c r="D423" s="23">
        <f>IFERROR(LOOKUP(2,1/((Hipoteca!$E$4:$E$9&lt;&gt;"")*(Hipoteca!$E$4:$E$9&lt;=C423)),Hipoteca!$F$4:$F$9),Hipoteca!$C$6)</f>
        <v>0.029</v>
      </c>
      <c r="E423" s="24">
        <f>J422</f>
        <v>0</v>
      </c>
      <c r="F423" s="24">
        <f>IF(E423&lt;=0.005,0,MIN(E423*(1+D423/12),IF(OR(Hipoteca!$C$8="Reducir cuota",D423&lt;&gt;D422),PMT(D423/12,K423,-E423),F422)))</f>
        <v>0</v>
      </c>
      <c r="G423" s="24">
        <f>E423*D423/12</f>
        <v>0</v>
      </c>
      <c r="H423" s="24">
        <f>IF(E423&lt;=0.005,0,MIN(E423,F423-G423))</f>
        <v>0</v>
      </c>
      <c r="I423" s="24">
        <f>MIN(E423-H423,SUMPRODUCT((YEAR(Hipoteca!$H$4:$H$15)=YEAR(C423))*(MONTH(Hipoteca!$H$4:$H$15)=MONTH(C423))*(Hipoteca!$H$4:$H$15&lt;&gt;"")*Hipoteca!$I$4:$I$15))</f>
        <v>0</v>
      </c>
      <c r="J423" s="24">
        <f>MAX(0,E423-H423-I423)</f>
        <v>0</v>
      </c>
      <c r="K423" s="21">
        <f>IF(E423&lt;=0.005,0,IF(Hipoteca!$C$8="Reducir cuota",$K$6-(B423-1),IFERROR(MAX(1,ROUNDUP(NPER(D422/12,-F422,E423),0)),$K$6-(B423-1))))</f>
        <v>0</v>
      </c>
      <c r="L423" s="21">
        <f>YEAR(C423)</f>
        <v>2061</v>
      </c>
      <c r="N423" s="25">
        <f>R422</f>
        <v>3.171862772433087e-11</v>
      </c>
      <c r="O423" s="25">
        <f>IF(N423&lt;=0.005,0,IF(D423&lt;&gt;D422,PMT(D423/12,Hipoteca!$C$5*12-(B423-1),-N423),O422))</f>
        <v>0</v>
      </c>
      <c r="P423" s="25">
        <f>N423*D423/12</f>
        <v>7.665335033379962e-14</v>
      </c>
      <c r="Q423" s="25">
        <f>IF(N423&lt;=0.005,0,MIN(N423,O423-P423))</f>
        <v>0</v>
      </c>
      <c r="R423" s="25">
        <f>MAX(0,N423-Q423)</f>
        <v>3.171862772433087e-11</v>
      </c>
    </row>
    <row r="424" spans="2:18" ht="18" customHeight="1">
      <c r="B424" s="21">
        <f>ROW()-5</f>
        <v>419</v>
      </c>
      <c r="C424" s="22">
        <f>EDATE(Hipoteca!$C$7,B424-1)</f>
        <v>59050.0</v>
      </c>
      <c r="D424" s="23">
        <f>IFERROR(LOOKUP(2,1/((Hipoteca!$E$4:$E$9&lt;&gt;"")*(Hipoteca!$E$4:$E$9&lt;=C424)),Hipoteca!$F$4:$F$9),Hipoteca!$C$6)</f>
        <v>0.029</v>
      </c>
      <c r="E424" s="24">
        <f>J423</f>
        <v>0</v>
      </c>
      <c r="F424" s="24">
        <f>IF(E424&lt;=0.005,0,MIN(E424*(1+D424/12),IF(OR(Hipoteca!$C$8="Reducir cuota",D424&lt;&gt;D423),PMT(D424/12,K424,-E424),F423)))</f>
        <v>0</v>
      </c>
      <c r="G424" s="24">
        <f>E424*D424/12</f>
        <v>0</v>
      </c>
      <c r="H424" s="24">
        <f>IF(E424&lt;=0.005,0,MIN(E424,F424-G424))</f>
        <v>0</v>
      </c>
      <c r="I424" s="24">
        <f>MIN(E424-H424,SUMPRODUCT((YEAR(Hipoteca!$H$4:$H$15)=YEAR(C424))*(MONTH(Hipoteca!$H$4:$H$15)=MONTH(C424))*(Hipoteca!$H$4:$H$15&lt;&gt;"")*Hipoteca!$I$4:$I$15))</f>
        <v>0</v>
      </c>
      <c r="J424" s="24">
        <f>MAX(0,E424-H424-I424)</f>
        <v>0</v>
      </c>
      <c r="K424" s="21">
        <f>IF(E424&lt;=0.005,0,IF(Hipoteca!$C$8="Reducir cuota",$K$6-(B424-1),IFERROR(MAX(1,ROUNDUP(NPER(D423/12,-F423,E424),0)),$K$6-(B424-1))))</f>
        <v>0</v>
      </c>
      <c r="L424" s="21">
        <f>YEAR(C424)</f>
        <v>2061</v>
      </c>
      <c r="N424" s="25">
        <f>R423</f>
        <v>3.171862772433087e-11</v>
      </c>
      <c r="O424" s="25">
        <f>IF(N424&lt;=0.005,0,IF(D424&lt;&gt;D423,PMT(D424/12,Hipoteca!$C$5*12-(B424-1),-N424),O423))</f>
        <v>0</v>
      </c>
      <c r="P424" s="25">
        <f>N424*D424/12</f>
        <v>7.665335033379962e-14</v>
      </c>
      <c r="Q424" s="25">
        <f>IF(N424&lt;=0.005,0,MIN(N424,O424-P424))</f>
        <v>0</v>
      </c>
      <c r="R424" s="25">
        <f>MAX(0,N424-Q424)</f>
        <v>3.171862772433087e-11</v>
      </c>
    </row>
    <row r="425" spans="2:18" ht="18" customHeight="1">
      <c r="B425" s="21">
        <f>ROW()-5</f>
        <v>420</v>
      </c>
      <c r="C425" s="22">
        <f>EDATE(Hipoteca!$C$7,B425-1)</f>
        <v>59080.0</v>
      </c>
      <c r="D425" s="23">
        <f>IFERROR(LOOKUP(2,1/((Hipoteca!$E$4:$E$9&lt;&gt;"")*(Hipoteca!$E$4:$E$9&lt;=C425)),Hipoteca!$F$4:$F$9),Hipoteca!$C$6)</f>
        <v>0.029</v>
      </c>
      <c r="E425" s="24">
        <f>J424</f>
        <v>0</v>
      </c>
      <c r="F425" s="24">
        <f>IF(E425&lt;=0.005,0,MIN(E425*(1+D425/12),IF(OR(Hipoteca!$C$8="Reducir cuota",D425&lt;&gt;D424),PMT(D425/12,K425,-E425),F424)))</f>
        <v>0</v>
      </c>
      <c r="G425" s="24">
        <f>E425*D425/12</f>
        <v>0</v>
      </c>
      <c r="H425" s="24">
        <f>IF(E425&lt;=0.005,0,MIN(E425,F425-G425))</f>
        <v>0</v>
      </c>
      <c r="I425" s="24">
        <f>MIN(E425-H425,SUMPRODUCT((YEAR(Hipoteca!$H$4:$H$15)=YEAR(C425))*(MONTH(Hipoteca!$H$4:$H$15)=MONTH(C425))*(Hipoteca!$H$4:$H$15&lt;&gt;"")*Hipoteca!$I$4:$I$15))</f>
        <v>0</v>
      </c>
      <c r="J425" s="24">
        <f>MAX(0,E425-H425-I425)</f>
        <v>0</v>
      </c>
      <c r="K425" s="21">
        <f>IF(E425&lt;=0.005,0,IF(Hipoteca!$C$8="Reducir cuota",$K$6-(B425-1),IFERROR(MAX(1,ROUNDUP(NPER(D424/12,-F424,E425),0)),$K$6-(B425-1))))</f>
        <v>0</v>
      </c>
      <c r="L425" s="21">
        <f>YEAR(C425)</f>
        <v>2061</v>
      </c>
      <c r="N425" s="25">
        <f>R424</f>
        <v>3.171862772433087e-11</v>
      </c>
      <c r="O425" s="25">
        <f>IF(N425&lt;=0.005,0,IF(D425&lt;&gt;D424,PMT(D425/12,Hipoteca!$C$5*12-(B425-1),-N425),O424))</f>
        <v>0</v>
      </c>
      <c r="P425" s="25">
        <f>N425*D425/12</f>
        <v>7.665335033379962e-14</v>
      </c>
      <c r="Q425" s="25">
        <f>IF(N425&lt;=0.005,0,MIN(N425,O425-P425))</f>
        <v>0</v>
      </c>
      <c r="R425" s="25">
        <f>MAX(0,N425-Q425)</f>
        <v>3.171862772433087e-11</v>
      </c>
    </row>
    <row r="426" spans="2:18" ht="18" customHeight="1">
      <c r="B426" s="21">
        <f>ROW()-5</f>
        <v>421</v>
      </c>
      <c r="C426" s="22">
        <f>EDATE(Hipoteca!$C$7,B426-1)</f>
        <v>59111.0</v>
      </c>
      <c r="D426" s="23">
        <f>IFERROR(LOOKUP(2,1/((Hipoteca!$E$4:$E$9&lt;&gt;"")*(Hipoteca!$E$4:$E$9&lt;=C426)),Hipoteca!$F$4:$F$9),Hipoteca!$C$6)</f>
        <v>0.029</v>
      </c>
      <c r="E426" s="24">
        <f>J425</f>
        <v>0</v>
      </c>
      <c r="F426" s="24">
        <f>IF(E426&lt;=0.005,0,MIN(E426*(1+D426/12),IF(OR(Hipoteca!$C$8="Reducir cuota",D426&lt;&gt;D425),PMT(D426/12,K426,-E426),F425)))</f>
        <v>0</v>
      </c>
      <c r="G426" s="24">
        <f>E426*D426/12</f>
        <v>0</v>
      </c>
      <c r="H426" s="24">
        <f>IF(E426&lt;=0.005,0,MIN(E426,F426-G426))</f>
        <v>0</v>
      </c>
      <c r="I426" s="24">
        <f>MIN(E426-H426,SUMPRODUCT((YEAR(Hipoteca!$H$4:$H$15)=YEAR(C426))*(MONTH(Hipoteca!$H$4:$H$15)=MONTH(C426))*(Hipoteca!$H$4:$H$15&lt;&gt;"")*Hipoteca!$I$4:$I$15))</f>
        <v>0</v>
      </c>
      <c r="J426" s="24">
        <f>MAX(0,E426-H426-I426)</f>
        <v>0</v>
      </c>
      <c r="K426" s="21">
        <f>IF(E426&lt;=0.005,0,IF(Hipoteca!$C$8="Reducir cuota",$K$6-(B426-1),IFERROR(MAX(1,ROUNDUP(NPER(D425/12,-F425,E426),0)),$K$6-(B426-1))))</f>
        <v>0</v>
      </c>
      <c r="L426" s="21">
        <f>YEAR(C426)</f>
        <v>2061</v>
      </c>
      <c r="N426" s="25">
        <f>R425</f>
        <v>3.171862772433087e-11</v>
      </c>
      <c r="O426" s="25">
        <f>IF(N426&lt;=0.005,0,IF(D426&lt;&gt;D425,PMT(D426/12,Hipoteca!$C$5*12-(B426-1),-N426),O425))</f>
        <v>0</v>
      </c>
      <c r="P426" s="25">
        <f>N426*D426/12</f>
        <v>7.665335033379962e-14</v>
      </c>
      <c r="Q426" s="25">
        <f>IF(N426&lt;=0.005,0,MIN(N426,O426-P426))</f>
        <v>0</v>
      </c>
      <c r="R426" s="25">
        <f>MAX(0,N426-Q426)</f>
        <v>3.171862772433087e-11</v>
      </c>
    </row>
    <row r="427" spans="2:18" ht="18" customHeight="1">
      <c r="B427" s="21">
        <f>ROW()-5</f>
        <v>422</v>
      </c>
      <c r="C427" s="22">
        <f>EDATE(Hipoteca!$C$7,B427-1)</f>
        <v>59141.0</v>
      </c>
      <c r="D427" s="23">
        <f>IFERROR(LOOKUP(2,1/((Hipoteca!$E$4:$E$9&lt;&gt;"")*(Hipoteca!$E$4:$E$9&lt;=C427)),Hipoteca!$F$4:$F$9),Hipoteca!$C$6)</f>
        <v>0.029</v>
      </c>
      <c r="E427" s="24">
        <f>J426</f>
        <v>0</v>
      </c>
      <c r="F427" s="24">
        <f>IF(E427&lt;=0.005,0,MIN(E427*(1+D427/12),IF(OR(Hipoteca!$C$8="Reducir cuota",D427&lt;&gt;D426),PMT(D427/12,K427,-E427),F426)))</f>
        <v>0</v>
      </c>
      <c r="G427" s="24">
        <f>E427*D427/12</f>
        <v>0</v>
      </c>
      <c r="H427" s="24">
        <f>IF(E427&lt;=0.005,0,MIN(E427,F427-G427))</f>
        <v>0</v>
      </c>
      <c r="I427" s="24">
        <f>MIN(E427-H427,SUMPRODUCT((YEAR(Hipoteca!$H$4:$H$15)=YEAR(C427))*(MONTH(Hipoteca!$H$4:$H$15)=MONTH(C427))*(Hipoteca!$H$4:$H$15&lt;&gt;"")*Hipoteca!$I$4:$I$15))</f>
        <v>0</v>
      </c>
      <c r="J427" s="24">
        <f>MAX(0,E427-H427-I427)</f>
        <v>0</v>
      </c>
      <c r="K427" s="21">
        <f>IF(E427&lt;=0.005,0,IF(Hipoteca!$C$8="Reducir cuota",$K$6-(B427-1),IFERROR(MAX(1,ROUNDUP(NPER(D426/12,-F426,E427),0)),$K$6-(B427-1))))</f>
        <v>0</v>
      </c>
      <c r="L427" s="21">
        <f>YEAR(C427)</f>
        <v>2061</v>
      </c>
      <c r="N427" s="25">
        <f>R426</f>
        <v>3.171862772433087e-11</v>
      </c>
      <c r="O427" s="25">
        <f>IF(N427&lt;=0.005,0,IF(D427&lt;&gt;D426,PMT(D427/12,Hipoteca!$C$5*12-(B427-1),-N427),O426))</f>
        <v>0</v>
      </c>
      <c r="P427" s="25">
        <f>N427*D427/12</f>
        <v>7.665335033379962e-14</v>
      </c>
      <c r="Q427" s="25">
        <f>IF(N427&lt;=0.005,0,MIN(N427,O427-P427))</f>
        <v>0</v>
      </c>
      <c r="R427" s="25">
        <f>MAX(0,N427-Q427)</f>
        <v>3.171862772433087e-11</v>
      </c>
    </row>
    <row r="428" spans="2:18" ht="18" customHeight="1">
      <c r="B428" s="21">
        <f>ROW()-5</f>
        <v>423</v>
      </c>
      <c r="C428" s="22">
        <f>EDATE(Hipoteca!$C$7,B428-1)</f>
        <v>59172.0</v>
      </c>
      <c r="D428" s="23">
        <f>IFERROR(LOOKUP(2,1/((Hipoteca!$E$4:$E$9&lt;&gt;"")*(Hipoteca!$E$4:$E$9&lt;=C428)),Hipoteca!$F$4:$F$9),Hipoteca!$C$6)</f>
        <v>0.029</v>
      </c>
      <c r="E428" s="24">
        <f>J427</f>
        <v>0</v>
      </c>
      <c r="F428" s="24">
        <f>IF(E428&lt;=0.005,0,MIN(E428*(1+D428/12),IF(OR(Hipoteca!$C$8="Reducir cuota",D428&lt;&gt;D427),PMT(D428/12,K428,-E428),F427)))</f>
        <v>0</v>
      </c>
      <c r="G428" s="24">
        <f>E428*D428/12</f>
        <v>0</v>
      </c>
      <c r="H428" s="24">
        <f>IF(E428&lt;=0.005,0,MIN(E428,F428-G428))</f>
        <v>0</v>
      </c>
      <c r="I428" s="24">
        <f>MIN(E428-H428,SUMPRODUCT((YEAR(Hipoteca!$H$4:$H$15)=YEAR(C428))*(MONTH(Hipoteca!$H$4:$H$15)=MONTH(C428))*(Hipoteca!$H$4:$H$15&lt;&gt;"")*Hipoteca!$I$4:$I$15))</f>
        <v>0</v>
      </c>
      <c r="J428" s="24">
        <f>MAX(0,E428-H428-I428)</f>
        <v>0</v>
      </c>
      <c r="K428" s="21">
        <f>IF(E428&lt;=0.005,0,IF(Hipoteca!$C$8="Reducir cuota",$K$6-(B428-1),IFERROR(MAX(1,ROUNDUP(NPER(D427/12,-F427,E428),0)),$K$6-(B428-1))))</f>
        <v>0</v>
      </c>
      <c r="L428" s="21">
        <f>YEAR(C428)</f>
        <v>2062</v>
      </c>
      <c r="N428" s="25">
        <f>R427</f>
        <v>3.171862772433087e-11</v>
      </c>
      <c r="O428" s="25">
        <f>IF(N428&lt;=0.005,0,IF(D428&lt;&gt;D427,PMT(D428/12,Hipoteca!$C$5*12-(B428-1),-N428),O427))</f>
        <v>0</v>
      </c>
      <c r="P428" s="25">
        <f>N428*D428/12</f>
        <v>7.665335033379962e-14</v>
      </c>
      <c r="Q428" s="25">
        <f>IF(N428&lt;=0.005,0,MIN(N428,O428-P428))</f>
        <v>0</v>
      </c>
      <c r="R428" s="25">
        <f>MAX(0,N428-Q428)</f>
        <v>3.171862772433087e-11</v>
      </c>
    </row>
    <row r="429" spans="2:18" ht="18" customHeight="1">
      <c r="B429" s="21">
        <f>ROW()-5</f>
        <v>424</v>
      </c>
      <c r="C429" s="22">
        <f>EDATE(Hipoteca!$C$7,B429-1)</f>
        <v>59203.0</v>
      </c>
      <c r="D429" s="23">
        <f>IFERROR(LOOKUP(2,1/((Hipoteca!$E$4:$E$9&lt;&gt;"")*(Hipoteca!$E$4:$E$9&lt;=C429)),Hipoteca!$F$4:$F$9),Hipoteca!$C$6)</f>
        <v>0.029</v>
      </c>
      <c r="E429" s="24">
        <f>J428</f>
        <v>0</v>
      </c>
      <c r="F429" s="24">
        <f>IF(E429&lt;=0.005,0,MIN(E429*(1+D429/12),IF(OR(Hipoteca!$C$8="Reducir cuota",D429&lt;&gt;D428),PMT(D429/12,K429,-E429),F428)))</f>
        <v>0</v>
      </c>
      <c r="G429" s="24">
        <f>E429*D429/12</f>
        <v>0</v>
      </c>
      <c r="H429" s="24">
        <f>IF(E429&lt;=0.005,0,MIN(E429,F429-G429))</f>
        <v>0</v>
      </c>
      <c r="I429" s="24">
        <f>MIN(E429-H429,SUMPRODUCT((YEAR(Hipoteca!$H$4:$H$15)=YEAR(C429))*(MONTH(Hipoteca!$H$4:$H$15)=MONTH(C429))*(Hipoteca!$H$4:$H$15&lt;&gt;"")*Hipoteca!$I$4:$I$15))</f>
        <v>0</v>
      </c>
      <c r="J429" s="24">
        <f>MAX(0,E429-H429-I429)</f>
        <v>0</v>
      </c>
      <c r="K429" s="21">
        <f>IF(E429&lt;=0.005,0,IF(Hipoteca!$C$8="Reducir cuota",$K$6-(B429-1),IFERROR(MAX(1,ROUNDUP(NPER(D428/12,-F428,E429),0)),$K$6-(B429-1))))</f>
        <v>0</v>
      </c>
      <c r="L429" s="21">
        <f>YEAR(C429)</f>
        <v>2062</v>
      </c>
      <c r="N429" s="25">
        <f>R428</f>
        <v>3.171862772433087e-11</v>
      </c>
      <c r="O429" s="25">
        <f>IF(N429&lt;=0.005,0,IF(D429&lt;&gt;D428,PMT(D429/12,Hipoteca!$C$5*12-(B429-1),-N429),O428))</f>
        <v>0</v>
      </c>
      <c r="P429" s="25">
        <f>N429*D429/12</f>
        <v>7.665335033379962e-14</v>
      </c>
      <c r="Q429" s="25">
        <f>IF(N429&lt;=0.005,0,MIN(N429,O429-P429))</f>
        <v>0</v>
      </c>
      <c r="R429" s="25">
        <f>MAX(0,N429-Q429)</f>
        <v>3.171862772433087e-11</v>
      </c>
    </row>
    <row r="430" spans="2:18" ht="18" customHeight="1">
      <c r="B430" s="21">
        <f>ROW()-5</f>
        <v>425</v>
      </c>
      <c r="C430" s="22">
        <f>EDATE(Hipoteca!$C$7,B430-1)</f>
        <v>59231.0</v>
      </c>
      <c r="D430" s="23">
        <f>IFERROR(LOOKUP(2,1/((Hipoteca!$E$4:$E$9&lt;&gt;"")*(Hipoteca!$E$4:$E$9&lt;=C430)),Hipoteca!$F$4:$F$9),Hipoteca!$C$6)</f>
        <v>0.029</v>
      </c>
      <c r="E430" s="24">
        <f>J429</f>
        <v>0</v>
      </c>
      <c r="F430" s="24">
        <f>IF(E430&lt;=0.005,0,MIN(E430*(1+D430/12),IF(OR(Hipoteca!$C$8="Reducir cuota",D430&lt;&gt;D429),PMT(D430/12,K430,-E430),F429)))</f>
        <v>0</v>
      </c>
      <c r="G430" s="24">
        <f>E430*D430/12</f>
        <v>0</v>
      </c>
      <c r="H430" s="24">
        <f>IF(E430&lt;=0.005,0,MIN(E430,F430-G430))</f>
        <v>0</v>
      </c>
      <c r="I430" s="24">
        <f>MIN(E430-H430,SUMPRODUCT((YEAR(Hipoteca!$H$4:$H$15)=YEAR(C430))*(MONTH(Hipoteca!$H$4:$H$15)=MONTH(C430))*(Hipoteca!$H$4:$H$15&lt;&gt;"")*Hipoteca!$I$4:$I$15))</f>
        <v>0</v>
      </c>
      <c r="J430" s="24">
        <f>MAX(0,E430-H430-I430)</f>
        <v>0</v>
      </c>
      <c r="K430" s="21">
        <f>IF(E430&lt;=0.005,0,IF(Hipoteca!$C$8="Reducir cuota",$K$6-(B430-1),IFERROR(MAX(1,ROUNDUP(NPER(D429/12,-F429,E430),0)),$K$6-(B430-1))))</f>
        <v>0</v>
      </c>
      <c r="L430" s="21">
        <f>YEAR(C430)</f>
        <v>2062</v>
      </c>
      <c r="N430" s="25">
        <f>R429</f>
        <v>3.171862772433087e-11</v>
      </c>
      <c r="O430" s="25">
        <f>IF(N430&lt;=0.005,0,IF(D430&lt;&gt;D429,PMT(D430/12,Hipoteca!$C$5*12-(B430-1),-N430),O429))</f>
        <v>0</v>
      </c>
      <c r="P430" s="25">
        <f>N430*D430/12</f>
        <v>7.665335033379962e-14</v>
      </c>
      <c r="Q430" s="25">
        <f>IF(N430&lt;=0.005,0,MIN(N430,O430-P430))</f>
        <v>0</v>
      </c>
      <c r="R430" s="25">
        <f>MAX(0,N430-Q430)</f>
        <v>3.171862772433087e-11</v>
      </c>
    </row>
    <row r="431" spans="2:18" ht="18" customHeight="1">
      <c r="B431" s="21">
        <f>ROW()-5</f>
        <v>426</v>
      </c>
      <c r="C431" s="22">
        <f>EDATE(Hipoteca!$C$7,B431-1)</f>
        <v>59262.0</v>
      </c>
      <c r="D431" s="23">
        <f>IFERROR(LOOKUP(2,1/((Hipoteca!$E$4:$E$9&lt;&gt;"")*(Hipoteca!$E$4:$E$9&lt;=C431)),Hipoteca!$F$4:$F$9),Hipoteca!$C$6)</f>
        <v>0.029</v>
      </c>
      <c r="E431" s="24">
        <f>J430</f>
        <v>0</v>
      </c>
      <c r="F431" s="24">
        <f>IF(E431&lt;=0.005,0,MIN(E431*(1+D431/12),IF(OR(Hipoteca!$C$8="Reducir cuota",D431&lt;&gt;D430),PMT(D431/12,K431,-E431),F430)))</f>
        <v>0</v>
      </c>
      <c r="G431" s="24">
        <f>E431*D431/12</f>
        <v>0</v>
      </c>
      <c r="H431" s="24">
        <f>IF(E431&lt;=0.005,0,MIN(E431,F431-G431))</f>
        <v>0</v>
      </c>
      <c r="I431" s="24">
        <f>MIN(E431-H431,SUMPRODUCT((YEAR(Hipoteca!$H$4:$H$15)=YEAR(C431))*(MONTH(Hipoteca!$H$4:$H$15)=MONTH(C431))*(Hipoteca!$H$4:$H$15&lt;&gt;"")*Hipoteca!$I$4:$I$15))</f>
        <v>0</v>
      </c>
      <c r="J431" s="24">
        <f>MAX(0,E431-H431-I431)</f>
        <v>0</v>
      </c>
      <c r="K431" s="21">
        <f>IF(E431&lt;=0.005,0,IF(Hipoteca!$C$8="Reducir cuota",$K$6-(B431-1),IFERROR(MAX(1,ROUNDUP(NPER(D430/12,-F430,E431),0)),$K$6-(B431-1))))</f>
        <v>0</v>
      </c>
      <c r="L431" s="21">
        <f>YEAR(C431)</f>
        <v>2062</v>
      </c>
      <c r="N431" s="25">
        <f>R430</f>
        <v>3.171862772433087e-11</v>
      </c>
      <c r="O431" s="25">
        <f>IF(N431&lt;=0.005,0,IF(D431&lt;&gt;D430,PMT(D431/12,Hipoteca!$C$5*12-(B431-1),-N431),O430))</f>
        <v>0</v>
      </c>
      <c r="P431" s="25">
        <f>N431*D431/12</f>
        <v>7.665335033379962e-14</v>
      </c>
      <c r="Q431" s="25">
        <f>IF(N431&lt;=0.005,0,MIN(N431,O431-P431))</f>
        <v>0</v>
      </c>
      <c r="R431" s="25">
        <f>MAX(0,N431-Q431)</f>
        <v>3.171862772433087e-11</v>
      </c>
    </row>
    <row r="432" spans="2:18" ht="18" customHeight="1">
      <c r="B432" s="21">
        <f>ROW()-5</f>
        <v>427</v>
      </c>
      <c r="C432" s="22">
        <f>EDATE(Hipoteca!$C$7,B432-1)</f>
        <v>59292.0</v>
      </c>
      <c r="D432" s="23">
        <f>IFERROR(LOOKUP(2,1/((Hipoteca!$E$4:$E$9&lt;&gt;"")*(Hipoteca!$E$4:$E$9&lt;=C432)),Hipoteca!$F$4:$F$9),Hipoteca!$C$6)</f>
        <v>0.029</v>
      </c>
      <c r="E432" s="24">
        <f>J431</f>
        <v>0</v>
      </c>
      <c r="F432" s="24">
        <f>IF(E432&lt;=0.005,0,MIN(E432*(1+D432/12),IF(OR(Hipoteca!$C$8="Reducir cuota",D432&lt;&gt;D431),PMT(D432/12,K432,-E432),F431)))</f>
        <v>0</v>
      </c>
      <c r="G432" s="24">
        <f>E432*D432/12</f>
        <v>0</v>
      </c>
      <c r="H432" s="24">
        <f>IF(E432&lt;=0.005,0,MIN(E432,F432-G432))</f>
        <v>0</v>
      </c>
      <c r="I432" s="24">
        <f>MIN(E432-H432,SUMPRODUCT((YEAR(Hipoteca!$H$4:$H$15)=YEAR(C432))*(MONTH(Hipoteca!$H$4:$H$15)=MONTH(C432))*(Hipoteca!$H$4:$H$15&lt;&gt;"")*Hipoteca!$I$4:$I$15))</f>
        <v>0</v>
      </c>
      <c r="J432" s="24">
        <f>MAX(0,E432-H432-I432)</f>
        <v>0</v>
      </c>
      <c r="K432" s="21">
        <f>IF(E432&lt;=0.005,0,IF(Hipoteca!$C$8="Reducir cuota",$K$6-(B432-1),IFERROR(MAX(1,ROUNDUP(NPER(D431/12,-F431,E432),0)),$K$6-(B432-1))))</f>
        <v>0</v>
      </c>
      <c r="L432" s="21">
        <f>YEAR(C432)</f>
        <v>2062</v>
      </c>
      <c r="N432" s="25">
        <f>R431</f>
        <v>3.171862772433087e-11</v>
      </c>
      <c r="O432" s="25">
        <f>IF(N432&lt;=0.005,0,IF(D432&lt;&gt;D431,PMT(D432/12,Hipoteca!$C$5*12-(B432-1),-N432),O431))</f>
        <v>0</v>
      </c>
      <c r="P432" s="25">
        <f>N432*D432/12</f>
        <v>7.665335033379962e-14</v>
      </c>
      <c r="Q432" s="25">
        <f>IF(N432&lt;=0.005,0,MIN(N432,O432-P432))</f>
        <v>0</v>
      </c>
      <c r="R432" s="25">
        <f>MAX(0,N432-Q432)</f>
        <v>3.171862772433087e-11</v>
      </c>
    </row>
    <row r="433" spans="2:18" ht="18" customHeight="1">
      <c r="B433" s="21">
        <f>ROW()-5</f>
        <v>428</v>
      </c>
      <c r="C433" s="22">
        <f>EDATE(Hipoteca!$C$7,B433-1)</f>
        <v>59323.0</v>
      </c>
      <c r="D433" s="23">
        <f>IFERROR(LOOKUP(2,1/((Hipoteca!$E$4:$E$9&lt;&gt;"")*(Hipoteca!$E$4:$E$9&lt;=C433)),Hipoteca!$F$4:$F$9),Hipoteca!$C$6)</f>
        <v>0.029</v>
      </c>
      <c r="E433" s="24">
        <f>J432</f>
        <v>0</v>
      </c>
      <c r="F433" s="24">
        <f>IF(E433&lt;=0.005,0,MIN(E433*(1+D433/12),IF(OR(Hipoteca!$C$8="Reducir cuota",D433&lt;&gt;D432),PMT(D433/12,K433,-E433),F432)))</f>
        <v>0</v>
      </c>
      <c r="G433" s="24">
        <f>E433*D433/12</f>
        <v>0</v>
      </c>
      <c r="H433" s="24">
        <f>IF(E433&lt;=0.005,0,MIN(E433,F433-G433))</f>
        <v>0</v>
      </c>
      <c r="I433" s="24">
        <f>MIN(E433-H433,SUMPRODUCT((YEAR(Hipoteca!$H$4:$H$15)=YEAR(C433))*(MONTH(Hipoteca!$H$4:$H$15)=MONTH(C433))*(Hipoteca!$H$4:$H$15&lt;&gt;"")*Hipoteca!$I$4:$I$15))</f>
        <v>0</v>
      </c>
      <c r="J433" s="24">
        <f>MAX(0,E433-H433-I433)</f>
        <v>0</v>
      </c>
      <c r="K433" s="21">
        <f>IF(E433&lt;=0.005,0,IF(Hipoteca!$C$8="Reducir cuota",$K$6-(B433-1),IFERROR(MAX(1,ROUNDUP(NPER(D432/12,-F432,E433),0)),$K$6-(B433-1))))</f>
        <v>0</v>
      </c>
      <c r="L433" s="21">
        <f>YEAR(C433)</f>
        <v>2062</v>
      </c>
      <c r="N433" s="25">
        <f>R432</f>
        <v>3.171862772433087e-11</v>
      </c>
      <c r="O433" s="25">
        <f>IF(N433&lt;=0.005,0,IF(D433&lt;&gt;D432,PMT(D433/12,Hipoteca!$C$5*12-(B433-1),-N433),O432))</f>
        <v>0</v>
      </c>
      <c r="P433" s="25">
        <f>N433*D433/12</f>
        <v>7.665335033379962e-14</v>
      </c>
      <c r="Q433" s="25">
        <f>IF(N433&lt;=0.005,0,MIN(N433,O433-P433))</f>
        <v>0</v>
      </c>
      <c r="R433" s="25">
        <f>MAX(0,N433-Q433)</f>
        <v>3.171862772433087e-11</v>
      </c>
    </row>
    <row r="434" spans="2:18" ht="18" customHeight="1">
      <c r="B434" s="21">
        <f>ROW()-5</f>
        <v>429</v>
      </c>
      <c r="C434" s="22">
        <f>EDATE(Hipoteca!$C$7,B434-1)</f>
        <v>59353.0</v>
      </c>
      <c r="D434" s="23">
        <f>IFERROR(LOOKUP(2,1/((Hipoteca!$E$4:$E$9&lt;&gt;"")*(Hipoteca!$E$4:$E$9&lt;=C434)),Hipoteca!$F$4:$F$9),Hipoteca!$C$6)</f>
        <v>0.029</v>
      </c>
      <c r="E434" s="24">
        <f>J433</f>
        <v>0</v>
      </c>
      <c r="F434" s="24">
        <f>IF(E434&lt;=0.005,0,MIN(E434*(1+D434/12),IF(OR(Hipoteca!$C$8="Reducir cuota",D434&lt;&gt;D433),PMT(D434/12,K434,-E434),F433)))</f>
        <v>0</v>
      </c>
      <c r="G434" s="24">
        <f>E434*D434/12</f>
        <v>0</v>
      </c>
      <c r="H434" s="24">
        <f>IF(E434&lt;=0.005,0,MIN(E434,F434-G434))</f>
        <v>0</v>
      </c>
      <c r="I434" s="24">
        <f>MIN(E434-H434,SUMPRODUCT((YEAR(Hipoteca!$H$4:$H$15)=YEAR(C434))*(MONTH(Hipoteca!$H$4:$H$15)=MONTH(C434))*(Hipoteca!$H$4:$H$15&lt;&gt;"")*Hipoteca!$I$4:$I$15))</f>
        <v>0</v>
      </c>
      <c r="J434" s="24">
        <f>MAX(0,E434-H434-I434)</f>
        <v>0</v>
      </c>
      <c r="K434" s="21">
        <f>IF(E434&lt;=0.005,0,IF(Hipoteca!$C$8="Reducir cuota",$K$6-(B434-1),IFERROR(MAX(1,ROUNDUP(NPER(D433/12,-F433,E434),0)),$K$6-(B434-1))))</f>
        <v>0</v>
      </c>
      <c r="L434" s="21">
        <f>YEAR(C434)</f>
        <v>2062</v>
      </c>
      <c r="N434" s="25">
        <f>R433</f>
        <v>3.171862772433087e-11</v>
      </c>
      <c r="O434" s="25">
        <f>IF(N434&lt;=0.005,0,IF(D434&lt;&gt;D433,PMT(D434/12,Hipoteca!$C$5*12-(B434-1),-N434),O433))</f>
        <v>0</v>
      </c>
      <c r="P434" s="25">
        <f>N434*D434/12</f>
        <v>7.665335033379962e-14</v>
      </c>
      <c r="Q434" s="25">
        <f>IF(N434&lt;=0.005,0,MIN(N434,O434-P434))</f>
        <v>0</v>
      </c>
      <c r="R434" s="25">
        <f>MAX(0,N434-Q434)</f>
        <v>3.171862772433087e-11</v>
      </c>
    </row>
    <row r="435" spans="2:18" ht="18" customHeight="1">
      <c r="B435" s="21">
        <f>ROW()-5</f>
        <v>430</v>
      </c>
      <c r="C435" s="22">
        <f>EDATE(Hipoteca!$C$7,B435-1)</f>
        <v>59384.0</v>
      </c>
      <c r="D435" s="23">
        <f>IFERROR(LOOKUP(2,1/((Hipoteca!$E$4:$E$9&lt;&gt;"")*(Hipoteca!$E$4:$E$9&lt;=C435)),Hipoteca!$F$4:$F$9),Hipoteca!$C$6)</f>
        <v>0.029</v>
      </c>
      <c r="E435" s="24">
        <f>J434</f>
        <v>0</v>
      </c>
      <c r="F435" s="24">
        <f>IF(E435&lt;=0.005,0,MIN(E435*(1+D435/12),IF(OR(Hipoteca!$C$8="Reducir cuota",D435&lt;&gt;D434),PMT(D435/12,K435,-E435),F434)))</f>
        <v>0</v>
      </c>
      <c r="G435" s="24">
        <f>E435*D435/12</f>
        <v>0</v>
      </c>
      <c r="H435" s="24">
        <f>IF(E435&lt;=0.005,0,MIN(E435,F435-G435))</f>
        <v>0</v>
      </c>
      <c r="I435" s="24">
        <f>MIN(E435-H435,SUMPRODUCT((YEAR(Hipoteca!$H$4:$H$15)=YEAR(C435))*(MONTH(Hipoteca!$H$4:$H$15)=MONTH(C435))*(Hipoteca!$H$4:$H$15&lt;&gt;"")*Hipoteca!$I$4:$I$15))</f>
        <v>0</v>
      </c>
      <c r="J435" s="24">
        <f>MAX(0,E435-H435-I435)</f>
        <v>0</v>
      </c>
      <c r="K435" s="21">
        <f>IF(E435&lt;=0.005,0,IF(Hipoteca!$C$8="Reducir cuota",$K$6-(B435-1),IFERROR(MAX(1,ROUNDUP(NPER(D434/12,-F434,E435),0)),$K$6-(B435-1))))</f>
        <v>0</v>
      </c>
      <c r="L435" s="21">
        <f>YEAR(C435)</f>
        <v>2062</v>
      </c>
      <c r="N435" s="25">
        <f>R434</f>
        <v>3.171862772433087e-11</v>
      </c>
      <c r="O435" s="25">
        <f>IF(N435&lt;=0.005,0,IF(D435&lt;&gt;D434,PMT(D435/12,Hipoteca!$C$5*12-(B435-1),-N435),O434))</f>
        <v>0</v>
      </c>
      <c r="P435" s="25">
        <f>N435*D435/12</f>
        <v>7.665335033379962e-14</v>
      </c>
      <c r="Q435" s="25">
        <f>IF(N435&lt;=0.005,0,MIN(N435,O435-P435))</f>
        <v>0</v>
      </c>
      <c r="R435" s="25">
        <f>MAX(0,N435-Q435)</f>
        <v>3.171862772433087e-11</v>
      </c>
    </row>
    <row r="436" spans="2:18" ht="18" customHeight="1">
      <c r="B436" s="21">
        <f>ROW()-5</f>
        <v>431</v>
      </c>
      <c r="C436" s="22">
        <f>EDATE(Hipoteca!$C$7,B436-1)</f>
        <v>59415.0</v>
      </c>
      <c r="D436" s="23">
        <f>IFERROR(LOOKUP(2,1/((Hipoteca!$E$4:$E$9&lt;&gt;"")*(Hipoteca!$E$4:$E$9&lt;=C436)),Hipoteca!$F$4:$F$9),Hipoteca!$C$6)</f>
        <v>0.029</v>
      </c>
      <c r="E436" s="24">
        <f>J435</f>
        <v>0</v>
      </c>
      <c r="F436" s="24">
        <f>IF(E436&lt;=0.005,0,MIN(E436*(1+D436/12),IF(OR(Hipoteca!$C$8="Reducir cuota",D436&lt;&gt;D435),PMT(D436/12,K436,-E436),F435)))</f>
        <v>0</v>
      </c>
      <c r="G436" s="24">
        <f>E436*D436/12</f>
        <v>0</v>
      </c>
      <c r="H436" s="24">
        <f>IF(E436&lt;=0.005,0,MIN(E436,F436-G436))</f>
        <v>0</v>
      </c>
      <c r="I436" s="24">
        <f>MIN(E436-H436,SUMPRODUCT((YEAR(Hipoteca!$H$4:$H$15)=YEAR(C436))*(MONTH(Hipoteca!$H$4:$H$15)=MONTH(C436))*(Hipoteca!$H$4:$H$15&lt;&gt;"")*Hipoteca!$I$4:$I$15))</f>
        <v>0</v>
      </c>
      <c r="J436" s="24">
        <f>MAX(0,E436-H436-I436)</f>
        <v>0</v>
      </c>
      <c r="K436" s="21">
        <f>IF(E436&lt;=0.005,0,IF(Hipoteca!$C$8="Reducir cuota",$K$6-(B436-1),IFERROR(MAX(1,ROUNDUP(NPER(D435/12,-F435,E436),0)),$K$6-(B436-1))))</f>
        <v>0</v>
      </c>
      <c r="L436" s="21">
        <f>YEAR(C436)</f>
        <v>2062</v>
      </c>
      <c r="N436" s="25">
        <f>R435</f>
        <v>3.171862772433087e-11</v>
      </c>
      <c r="O436" s="25">
        <f>IF(N436&lt;=0.005,0,IF(D436&lt;&gt;D435,PMT(D436/12,Hipoteca!$C$5*12-(B436-1),-N436),O435))</f>
        <v>0</v>
      </c>
      <c r="P436" s="25">
        <f>N436*D436/12</f>
        <v>7.665335033379962e-14</v>
      </c>
      <c r="Q436" s="25">
        <f>IF(N436&lt;=0.005,0,MIN(N436,O436-P436))</f>
        <v>0</v>
      </c>
      <c r="R436" s="25">
        <f>MAX(0,N436-Q436)</f>
        <v>3.171862772433087e-11</v>
      </c>
    </row>
    <row r="437" spans="2:18" ht="18" customHeight="1">
      <c r="B437" s="21">
        <f>ROW()-5</f>
        <v>432</v>
      </c>
      <c r="C437" s="22">
        <f>EDATE(Hipoteca!$C$7,B437-1)</f>
        <v>59445.0</v>
      </c>
      <c r="D437" s="23">
        <f>IFERROR(LOOKUP(2,1/((Hipoteca!$E$4:$E$9&lt;&gt;"")*(Hipoteca!$E$4:$E$9&lt;=C437)),Hipoteca!$F$4:$F$9),Hipoteca!$C$6)</f>
        <v>0.029</v>
      </c>
      <c r="E437" s="24">
        <f>J436</f>
        <v>0</v>
      </c>
      <c r="F437" s="24">
        <f>IF(E437&lt;=0.005,0,MIN(E437*(1+D437/12),IF(OR(Hipoteca!$C$8="Reducir cuota",D437&lt;&gt;D436),PMT(D437/12,K437,-E437),F436)))</f>
        <v>0</v>
      </c>
      <c r="G437" s="24">
        <f>E437*D437/12</f>
        <v>0</v>
      </c>
      <c r="H437" s="24">
        <f>IF(E437&lt;=0.005,0,MIN(E437,F437-G437))</f>
        <v>0</v>
      </c>
      <c r="I437" s="24">
        <f>MIN(E437-H437,SUMPRODUCT((YEAR(Hipoteca!$H$4:$H$15)=YEAR(C437))*(MONTH(Hipoteca!$H$4:$H$15)=MONTH(C437))*(Hipoteca!$H$4:$H$15&lt;&gt;"")*Hipoteca!$I$4:$I$15))</f>
        <v>0</v>
      </c>
      <c r="J437" s="24">
        <f>MAX(0,E437-H437-I437)</f>
        <v>0</v>
      </c>
      <c r="K437" s="21">
        <f>IF(E437&lt;=0.005,0,IF(Hipoteca!$C$8="Reducir cuota",$K$6-(B437-1),IFERROR(MAX(1,ROUNDUP(NPER(D436/12,-F436,E437),0)),$K$6-(B437-1))))</f>
        <v>0</v>
      </c>
      <c r="L437" s="21">
        <f>YEAR(C437)</f>
        <v>2062</v>
      </c>
      <c r="N437" s="25">
        <f>R436</f>
        <v>3.171862772433087e-11</v>
      </c>
      <c r="O437" s="25">
        <f>IF(N437&lt;=0.005,0,IF(D437&lt;&gt;D436,PMT(D437/12,Hipoteca!$C$5*12-(B437-1),-N437),O436))</f>
        <v>0</v>
      </c>
      <c r="P437" s="25">
        <f>N437*D437/12</f>
        <v>7.665335033379962e-14</v>
      </c>
      <c r="Q437" s="25">
        <f>IF(N437&lt;=0.005,0,MIN(N437,O437-P437))</f>
        <v>0</v>
      </c>
      <c r="R437" s="25">
        <f>MAX(0,N437-Q437)</f>
        <v>3.171862772433087e-11</v>
      </c>
    </row>
    <row r="438" spans="2:18" ht="18" customHeight="1">
      <c r="B438" s="21">
        <f>ROW()-5</f>
        <v>433</v>
      </c>
      <c r="C438" s="22">
        <f>EDATE(Hipoteca!$C$7,B438-1)</f>
        <v>59476.0</v>
      </c>
      <c r="D438" s="23">
        <f>IFERROR(LOOKUP(2,1/((Hipoteca!$E$4:$E$9&lt;&gt;"")*(Hipoteca!$E$4:$E$9&lt;=C438)),Hipoteca!$F$4:$F$9),Hipoteca!$C$6)</f>
        <v>0.029</v>
      </c>
      <c r="E438" s="24">
        <f>J437</f>
        <v>0</v>
      </c>
      <c r="F438" s="24">
        <f>IF(E438&lt;=0.005,0,MIN(E438*(1+D438/12),IF(OR(Hipoteca!$C$8="Reducir cuota",D438&lt;&gt;D437),PMT(D438/12,K438,-E438),F437)))</f>
        <v>0</v>
      </c>
      <c r="G438" s="24">
        <f>E438*D438/12</f>
        <v>0</v>
      </c>
      <c r="H438" s="24">
        <f>IF(E438&lt;=0.005,0,MIN(E438,F438-G438))</f>
        <v>0</v>
      </c>
      <c r="I438" s="24">
        <f>MIN(E438-H438,SUMPRODUCT((YEAR(Hipoteca!$H$4:$H$15)=YEAR(C438))*(MONTH(Hipoteca!$H$4:$H$15)=MONTH(C438))*(Hipoteca!$H$4:$H$15&lt;&gt;"")*Hipoteca!$I$4:$I$15))</f>
        <v>0</v>
      </c>
      <c r="J438" s="24">
        <f>MAX(0,E438-H438-I438)</f>
        <v>0</v>
      </c>
      <c r="K438" s="21">
        <f>IF(E438&lt;=0.005,0,IF(Hipoteca!$C$8="Reducir cuota",$K$6-(B438-1),IFERROR(MAX(1,ROUNDUP(NPER(D437/12,-F437,E438),0)),$K$6-(B438-1))))</f>
        <v>0</v>
      </c>
      <c r="L438" s="21">
        <f>YEAR(C438)</f>
        <v>2062</v>
      </c>
      <c r="N438" s="25">
        <f>R437</f>
        <v>3.171862772433087e-11</v>
      </c>
      <c r="O438" s="25">
        <f>IF(N438&lt;=0.005,0,IF(D438&lt;&gt;D437,PMT(D438/12,Hipoteca!$C$5*12-(B438-1),-N438),O437))</f>
        <v>0</v>
      </c>
      <c r="P438" s="25">
        <f>N438*D438/12</f>
        <v>7.665335033379962e-14</v>
      </c>
      <c r="Q438" s="25">
        <f>IF(N438&lt;=0.005,0,MIN(N438,O438-P438))</f>
        <v>0</v>
      </c>
      <c r="R438" s="25">
        <f>MAX(0,N438-Q438)</f>
        <v>3.171862772433087e-11</v>
      </c>
    </row>
    <row r="439" spans="2:18" ht="18" customHeight="1">
      <c r="B439" s="21">
        <f>ROW()-5</f>
        <v>434</v>
      </c>
      <c r="C439" s="22">
        <f>EDATE(Hipoteca!$C$7,B439-1)</f>
        <v>59506.0</v>
      </c>
      <c r="D439" s="23">
        <f>IFERROR(LOOKUP(2,1/((Hipoteca!$E$4:$E$9&lt;&gt;"")*(Hipoteca!$E$4:$E$9&lt;=C439)),Hipoteca!$F$4:$F$9),Hipoteca!$C$6)</f>
        <v>0.029</v>
      </c>
      <c r="E439" s="24">
        <f>J438</f>
        <v>0</v>
      </c>
      <c r="F439" s="24">
        <f>IF(E439&lt;=0.005,0,MIN(E439*(1+D439/12),IF(OR(Hipoteca!$C$8="Reducir cuota",D439&lt;&gt;D438),PMT(D439/12,K439,-E439),F438)))</f>
        <v>0</v>
      </c>
      <c r="G439" s="24">
        <f>E439*D439/12</f>
        <v>0</v>
      </c>
      <c r="H439" s="24">
        <f>IF(E439&lt;=0.005,0,MIN(E439,F439-G439))</f>
        <v>0</v>
      </c>
      <c r="I439" s="24">
        <f>MIN(E439-H439,SUMPRODUCT((YEAR(Hipoteca!$H$4:$H$15)=YEAR(C439))*(MONTH(Hipoteca!$H$4:$H$15)=MONTH(C439))*(Hipoteca!$H$4:$H$15&lt;&gt;"")*Hipoteca!$I$4:$I$15))</f>
        <v>0</v>
      </c>
      <c r="J439" s="24">
        <f>MAX(0,E439-H439-I439)</f>
        <v>0</v>
      </c>
      <c r="K439" s="21">
        <f>IF(E439&lt;=0.005,0,IF(Hipoteca!$C$8="Reducir cuota",$K$6-(B439-1),IFERROR(MAX(1,ROUNDUP(NPER(D438/12,-F438,E439),0)),$K$6-(B439-1))))</f>
        <v>0</v>
      </c>
      <c r="L439" s="21">
        <f>YEAR(C439)</f>
        <v>2062</v>
      </c>
      <c r="N439" s="25">
        <f>R438</f>
        <v>3.171862772433087e-11</v>
      </c>
      <c r="O439" s="25">
        <f>IF(N439&lt;=0.005,0,IF(D439&lt;&gt;D438,PMT(D439/12,Hipoteca!$C$5*12-(B439-1),-N439),O438))</f>
        <v>0</v>
      </c>
      <c r="P439" s="25">
        <f>N439*D439/12</f>
        <v>7.665335033379962e-14</v>
      </c>
      <c r="Q439" s="25">
        <f>IF(N439&lt;=0.005,0,MIN(N439,O439-P439))</f>
        <v>0</v>
      </c>
      <c r="R439" s="25">
        <f>MAX(0,N439-Q439)</f>
        <v>3.171862772433087e-11</v>
      </c>
    </row>
    <row r="440" spans="2:18" ht="18" customHeight="1">
      <c r="B440" s="21">
        <f>ROW()-5</f>
        <v>435</v>
      </c>
      <c r="C440" s="22">
        <f>EDATE(Hipoteca!$C$7,B440-1)</f>
        <v>59537.0</v>
      </c>
      <c r="D440" s="23">
        <f>IFERROR(LOOKUP(2,1/((Hipoteca!$E$4:$E$9&lt;&gt;"")*(Hipoteca!$E$4:$E$9&lt;=C440)),Hipoteca!$F$4:$F$9),Hipoteca!$C$6)</f>
        <v>0.029</v>
      </c>
      <c r="E440" s="24">
        <f>J439</f>
        <v>0</v>
      </c>
      <c r="F440" s="24">
        <f>IF(E440&lt;=0.005,0,MIN(E440*(1+D440/12),IF(OR(Hipoteca!$C$8="Reducir cuota",D440&lt;&gt;D439),PMT(D440/12,K440,-E440),F439)))</f>
        <v>0</v>
      </c>
      <c r="G440" s="24">
        <f>E440*D440/12</f>
        <v>0</v>
      </c>
      <c r="H440" s="24">
        <f>IF(E440&lt;=0.005,0,MIN(E440,F440-G440))</f>
        <v>0</v>
      </c>
      <c r="I440" s="24">
        <f>MIN(E440-H440,SUMPRODUCT((YEAR(Hipoteca!$H$4:$H$15)=YEAR(C440))*(MONTH(Hipoteca!$H$4:$H$15)=MONTH(C440))*(Hipoteca!$H$4:$H$15&lt;&gt;"")*Hipoteca!$I$4:$I$15))</f>
        <v>0</v>
      </c>
      <c r="J440" s="24">
        <f>MAX(0,E440-H440-I440)</f>
        <v>0</v>
      </c>
      <c r="K440" s="21">
        <f>IF(E440&lt;=0.005,0,IF(Hipoteca!$C$8="Reducir cuota",$K$6-(B440-1),IFERROR(MAX(1,ROUNDUP(NPER(D439/12,-F439,E440),0)),$K$6-(B440-1))))</f>
        <v>0</v>
      </c>
      <c r="L440" s="21">
        <f>YEAR(C440)</f>
        <v>2063</v>
      </c>
      <c r="N440" s="25">
        <f>R439</f>
        <v>3.171862772433087e-11</v>
      </c>
      <c r="O440" s="25">
        <f>IF(N440&lt;=0.005,0,IF(D440&lt;&gt;D439,PMT(D440/12,Hipoteca!$C$5*12-(B440-1),-N440),O439))</f>
        <v>0</v>
      </c>
      <c r="P440" s="25">
        <f>N440*D440/12</f>
        <v>7.665335033379962e-14</v>
      </c>
      <c r="Q440" s="25">
        <f>IF(N440&lt;=0.005,0,MIN(N440,O440-P440))</f>
        <v>0</v>
      </c>
      <c r="R440" s="25">
        <f>MAX(0,N440-Q440)</f>
        <v>3.171862772433087e-11</v>
      </c>
    </row>
    <row r="441" spans="2:18" ht="18" customHeight="1">
      <c r="B441" s="21">
        <f>ROW()-5</f>
        <v>436</v>
      </c>
      <c r="C441" s="22">
        <f>EDATE(Hipoteca!$C$7,B441-1)</f>
        <v>59568.0</v>
      </c>
      <c r="D441" s="23">
        <f>IFERROR(LOOKUP(2,1/((Hipoteca!$E$4:$E$9&lt;&gt;"")*(Hipoteca!$E$4:$E$9&lt;=C441)),Hipoteca!$F$4:$F$9),Hipoteca!$C$6)</f>
        <v>0.029</v>
      </c>
      <c r="E441" s="24">
        <f>J440</f>
        <v>0</v>
      </c>
      <c r="F441" s="24">
        <f>IF(E441&lt;=0.005,0,MIN(E441*(1+D441/12),IF(OR(Hipoteca!$C$8="Reducir cuota",D441&lt;&gt;D440),PMT(D441/12,K441,-E441),F440)))</f>
        <v>0</v>
      </c>
      <c r="G441" s="24">
        <f>E441*D441/12</f>
        <v>0</v>
      </c>
      <c r="H441" s="24">
        <f>IF(E441&lt;=0.005,0,MIN(E441,F441-G441))</f>
        <v>0</v>
      </c>
      <c r="I441" s="24">
        <f>MIN(E441-H441,SUMPRODUCT((YEAR(Hipoteca!$H$4:$H$15)=YEAR(C441))*(MONTH(Hipoteca!$H$4:$H$15)=MONTH(C441))*(Hipoteca!$H$4:$H$15&lt;&gt;"")*Hipoteca!$I$4:$I$15))</f>
        <v>0</v>
      </c>
      <c r="J441" s="24">
        <f>MAX(0,E441-H441-I441)</f>
        <v>0</v>
      </c>
      <c r="K441" s="21">
        <f>IF(E441&lt;=0.005,0,IF(Hipoteca!$C$8="Reducir cuota",$K$6-(B441-1),IFERROR(MAX(1,ROUNDUP(NPER(D440/12,-F440,E441),0)),$K$6-(B441-1))))</f>
        <v>0</v>
      </c>
      <c r="L441" s="21">
        <f>YEAR(C441)</f>
        <v>2063</v>
      </c>
      <c r="N441" s="25">
        <f>R440</f>
        <v>3.171862772433087e-11</v>
      </c>
      <c r="O441" s="25">
        <f>IF(N441&lt;=0.005,0,IF(D441&lt;&gt;D440,PMT(D441/12,Hipoteca!$C$5*12-(B441-1),-N441),O440))</f>
        <v>0</v>
      </c>
      <c r="P441" s="25">
        <f>N441*D441/12</f>
        <v>7.665335033379962e-14</v>
      </c>
      <c r="Q441" s="25">
        <f>IF(N441&lt;=0.005,0,MIN(N441,O441-P441))</f>
        <v>0</v>
      </c>
      <c r="R441" s="25">
        <f>MAX(0,N441-Q441)</f>
        <v>3.171862772433087e-11</v>
      </c>
    </row>
    <row r="442" spans="2:18" ht="18" customHeight="1">
      <c r="B442" s="21">
        <f>ROW()-5</f>
        <v>437</v>
      </c>
      <c r="C442" s="22">
        <f>EDATE(Hipoteca!$C$7,B442-1)</f>
        <v>59596.0</v>
      </c>
      <c r="D442" s="23">
        <f>IFERROR(LOOKUP(2,1/((Hipoteca!$E$4:$E$9&lt;&gt;"")*(Hipoteca!$E$4:$E$9&lt;=C442)),Hipoteca!$F$4:$F$9),Hipoteca!$C$6)</f>
        <v>0.029</v>
      </c>
      <c r="E442" s="24">
        <f>J441</f>
        <v>0</v>
      </c>
      <c r="F442" s="24">
        <f>IF(E442&lt;=0.005,0,MIN(E442*(1+D442/12),IF(OR(Hipoteca!$C$8="Reducir cuota",D442&lt;&gt;D441),PMT(D442/12,K442,-E442),F441)))</f>
        <v>0</v>
      </c>
      <c r="G442" s="24">
        <f>E442*D442/12</f>
        <v>0</v>
      </c>
      <c r="H442" s="24">
        <f>IF(E442&lt;=0.005,0,MIN(E442,F442-G442))</f>
        <v>0</v>
      </c>
      <c r="I442" s="24">
        <f>MIN(E442-H442,SUMPRODUCT((YEAR(Hipoteca!$H$4:$H$15)=YEAR(C442))*(MONTH(Hipoteca!$H$4:$H$15)=MONTH(C442))*(Hipoteca!$H$4:$H$15&lt;&gt;"")*Hipoteca!$I$4:$I$15))</f>
        <v>0</v>
      </c>
      <c r="J442" s="24">
        <f>MAX(0,E442-H442-I442)</f>
        <v>0</v>
      </c>
      <c r="K442" s="21">
        <f>IF(E442&lt;=0.005,0,IF(Hipoteca!$C$8="Reducir cuota",$K$6-(B442-1),IFERROR(MAX(1,ROUNDUP(NPER(D441/12,-F441,E442),0)),$K$6-(B442-1))))</f>
        <v>0</v>
      </c>
      <c r="L442" s="21">
        <f>YEAR(C442)</f>
        <v>2063</v>
      </c>
      <c r="N442" s="25">
        <f>R441</f>
        <v>3.171862772433087e-11</v>
      </c>
      <c r="O442" s="25">
        <f>IF(N442&lt;=0.005,0,IF(D442&lt;&gt;D441,PMT(D442/12,Hipoteca!$C$5*12-(B442-1),-N442),O441))</f>
        <v>0</v>
      </c>
      <c r="P442" s="25">
        <f>N442*D442/12</f>
        <v>7.665335033379962e-14</v>
      </c>
      <c r="Q442" s="25">
        <f>IF(N442&lt;=0.005,0,MIN(N442,O442-P442))</f>
        <v>0</v>
      </c>
      <c r="R442" s="25">
        <f>MAX(0,N442-Q442)</f>
        <v>3.171862772433087e-11</v>
      </c>
    </row>
    <row r="443" spans="2:18" ht="18" customHeight="1">
      <c r="B443" s="21">
        <f>ROW()-5</f>
        <v>438</v>
      </c>
      <c r="C443" s="22">
        <f>EDATE(Hipoteca!$C$7,B443-1)</f>
        <v>59627.0</v>
      </c>
      <c r="D443" s="23">
        <f>IFERROR(LOOKUP(2,1/((Hipoteca!$E$4:$E$9&lt;&gt;"")*(Hipoteca!$E$4:$E$9&lt;=C443)),Hipoteca!$F$4:$F$9),Hipoteca!$C$6)</f>
        <v>0.029</v>
      </c>
      <c r="E443" s="24">
        <f>J442</f>
        <v>0</v>
      </c>
      <c r="F443" s="24">
        <f>IF(E443&lt;=0.005,0,MIN(E443*(1+D443/12),IF(OR(Hipoteca!$C$8="Reducir cuota",D443&lt;&gt;D442),PMT(D443/12,K443,-E443),F442)))</f>
        <v>0</v>
      </c>
      <c r="G443" s="24">
        <f>E443*D443/12</f>
        <v>0</v>
      </c>
      <c r="H443" s="24">
        <f>IF(E443&lt;=0.005,0,MIN(E443,F443-G443))</f>
        <v>0</v>
      </c>
      <c r="I443" s="24">
        <f>MIN(E443-H443,SUMPRODUCT((YEAR(Hipoteca!$H$4:$H$15)=YEAR(C443))*(MONTH(Hipoteca!$H$4:$H$15)=MONTH(C443))*(Hipoteca!$H$4:$H$15&lt;&gt;"")*Hipoteca!$I$4:$I$15))</f>
        <v>0</v>
      </c>
      <c r="J443" s="24">
        <f>MAX(0,E443-H443-I443)</f>
        <v>0</v>
      </c>
      <c r="K443" s="21">
        <f>IF(E443&lt;=0.005,0,IF(Hipoteca!$C$8="Reducir cuota",$K$6-(B443-1),IFERROR(MAX(1,ROUNDUP(NPER(D442/12,-F442,E443),0)),$K$6-(B443-1))))</f>
        <v>0</v>
      </c>
      <c r="L443" s="21">
        <f>YEAR(C443)</f>
        <v>2063</v>
      </c>
      <c r="N443" s="25">
        <f>R442</f>
        <v>3.171862772433087e-11</v>
      </c>
      <c r="O443" s="25">
        <f>IF(N443&lt;=0.005,0,IF(D443&lt;&gt;D442,PMT(D443/12,Hipoteca!$C$5*12-(B443-1),-N443),O442))</f>
        <v>0</v>
      </c>
      <c r="P443" s="25">
        <f>N443*D443/12</f>
        <v>7.665335033379962e-14</v>
      </c>
      <c r="Q443" s="25">
        <f>IF(N443&lt;=0.005,0,MIN(N443,O443-P443))</f>
        <v>0</v>
      </c>
      <c r="R443" s="25">
        <f>MAX(0,N443-Q443)</f>
        <v>3.171862772433087e-11</v>
      </c>
    </row>
    <row r="444" spans="2:18" ht="18" customHeight="1">
      <c r="B444" s="21">
        <f>ROW()-5</f>
        <v>439</v>
      </c>
      <c r="C444" s="22">
        <f>EDATE(Hipoteca!$C$7,B444-1)</f>
        <v>59657.0</v>
      </c>
      <c r="D444" s="23">
        <f>IFERROR(LOOKUP(2,1/((Hipoteca!$E$4:$E$9&lt;&gt;"")*(Hipoteca!$E$4:$E$9&lt;=C444)),Hipoteca!$F$4:$F$9),Hipoteca!$C$6)</f>
        <v>0.029</v>
      </c>
      <c r="E444" s="24">
        <f>J443</f>
        <v>0</v>
      </c>
      <c r="F444" s="24">
        <f>IF(E444&lt;=0.005,0,MIN(E444*(1+D444/12),IF(OR(Hipoteca!$C$8="Reducir cuota",D444&lt;&gt;D443),PMT(D444/12,K444,-E444),F443)))</f>
        <v>0</v>
      </c>
      <c r="G444" s="24">
        <f>E444*D444/12</f>
        <v>0</v>
      </c>
      <c r="H444" s="24">
        <f>IF(E444&lt;=0.005,0,MIN(E444,F444-G444))</f>
        <v>0</v>
      </c>
      <c r="I444" s="24">
        <f>MIN(E444-H444,SUMPRODUCT((YEAR(Hipoteca!$H$4:$H$15)=YEAR(C444))*(MONTH(Hipoteca!$H$4:$H$15)=MONTH(C444))*(Hipoteca!$H$4:$H$15&lt;&gt;"")*Hipoteca!$I$4:$I$15))</f>
        <v>0</v>
      </c>
      <c r="J444" s="24">
        <f>MAX(0,E444-H444-I444)</f>
        <v>0</v>
      </c>
      <c r="K444" s="21">
        <f>IF(E444&lt;=0.005,0,IF(Hipoteca!$C$8="Reducir cuota",$K$6-(B444-1),IFERROR(MAX(1,ROUNDUP(NPER(D443/12,-F443,E444),0)),$K$6-(B444-1))))</f>
        <v>0</v>
      </c>
      <c r="L444" s="21">
        <f>YEAR(C444)</f>
        <v>2063</v>
      </c>
      <c r="N444" s="25">
        <f>R443</f>
        <v>3.171862772433087e-11</v>
      </c>
      <c r="O444" s="25">
        <f>IF(N444&lt;=0.005,0,IF(D444&lt;&gt;D443,PMT(D444/12,Hipoteca!$C$5*12-(B444-1),-N444),O443))</f>
        <v>0</v>
      </c>
      <c r="P444" s="25">
        <f>N444*D444/12</f>
        <v>7.665335033379962e-14</v>
      </c>
      <c r="Q444" s="25">
        <f>IF(N444&lt;=0.005,0,MIN(N444,O444-P444))</f>
        <v>0</v>
      </c>
      <c r="R444" s="25">
        <f>MAX(0,N444-Q444)</f>
        <v>3.171862772433087e-11</v>
      </c>
    </row>
    <row r="445" spans="2:18" ht="18" customHeight="1">
      <c r="B445" s="21">
        <f>ROW()-5</f>
        <v>440</v>
      </c>
      <c r="C445" s="22">
        <f>EDATE(Hipoteca!$C$7,B445-1)</f>
        <v>59688.0</v>
      </c>
      <c r="D445" s="23">
        <f>IFERROR(LOOKUP(2,1/((Hipoteca!$E$4:$E$9&lt;&gt;"")*(Hipoteca!$E$4:$E$9&lt;=C445)),Hipoteca!$F$4:$F$9),Hipoteca!$C$6)</f>
        <v>0.029</v>
      </c>
      <c r="E445" s="24">
        <f>J444</f>
        <v>0</v>
      </c>
      <c r="F445" s="24">
        <f>IF(E445&lt;=0.005,0,MIN(E445*(1+D445/12),IF(OR(Hipoteca!$C$8="Reducir cuota",D445&lt;&gt;D444),PMT(D445/12,K445,-E445),F444)))</f>
        <v>0</v>
      </c>
      <c r="G445" s="24">
        <f>E445*D445/12</f>
        <v>0</v>
      </c>
      <c r="H445" s="24">
        <f>IF(E445&lt;=0.005,0,MIN(E445,F445-G445))</f>
        <v>0</v>
      </c>
      <c r="I445" s="24">
        <f>MIN(E445-H445,SUMPRODUCT((YEAR(Hipoteca!$H$4:$H$15)=YEAR(C445))*(MONTH(Hipoteca!$H$4:$H$15)=MONTH(C445))*(Hipoteca!$H$4:$H$15&lt;&gt;"")*Hipoteca!$I$4:$I$15))</f>
        <v>0</v>
      </c>
      <c r="J445" s="24">
        <f>MAX(0,E445-H445-I445)</f>
        <v>0</v>
      </c>
      <c r="K445" s="21">
        <f>IF(E445&lt;=0.005,0,IF(Hipoteca!$C$8="Reducir cuota",$K$6-(B445-1),IFERROR(MAX(1,ROUNDUP(NPER(D444/12,-F444,E445),0)),$K$6-(B445-1))))</f>
        <v>0</v>
      </c>
      <c r="L445" s="21">
        <f>YEAR(C445)</f>
        <v>2063</v>
      </c>
      <c r="N445" s="25">
        <f>R444</f>
        <v>3.171862772433087e-11</v>
      </c>
      <c r="O445" s="25">
        <f>IF(N445&lt;=0.005,0,IF(D445&lt;&gt;D444,PMT(D445/12,Hipoteca!$C$5*12-(B445-1),-N445),O444))</f>
        <v>0</v>
      </c>
      <c r="P445" s="25">
        <f>N445*D445/12</f>
        <v>7.665335033379962e-14</v>
      </c>
      <c r="Q445" s="25">
        <f>IF(N445&lt;=0.005,0,MIN(N445,O445-P445))</f>
        <v>0</v>
      </c>
      <c r="R445" s="25">
        <f>MAX(0,N445-Q445)</f>
        <v>3.171862772433087e-11</v>
      </c>
    </row>
    <row r="446" spans="2:18" ht="18" customHeight="1">
      <c r="B446" s="21">
        <f>ROW()-5</f>
        <v>441</v>
      </c>
      <c r="C446" s="22">
        <f>EDATE(Hipoteca!$C$7,B446-1)</f>
        <v>59718.0</v>
      </c>
      <c r="D446" s="23">
        <f>IFERROR(LOOKUP(2,1/((Hipoteca!$E$4:$E$9&lt;&gt;"")*(Hipoteca!$E$4:$E$9&lt;=C446)),Hipoteca!$F$4:$F$9),Hipoteca!$C$6)</f>
        <v>0.029</v>
      </c>
      <c r="E446" s="24">
        <f>J445</f>
        <v>0</v>
      </c>
      <c r="F446" s="24">
        <f>IF(E446&lt;=0.005,0,MIN(E446*(1+D446/12),IF(OR(Hipoteca!$C$8="Reducir cuota",D446&lt;&gt;D445),PMT(D446/12,K446,-E446),F445)))</f>
        <v>0</v>
      </c>
      <c r="G446" s="24">
        <f>E446*D446/12</f>
        <v>0</v>
      </c>
      <c r="H446" s="24">
        <f>IF(E446&lt;=0.005,0,MIN(E446,F446-G446))</f>
        <v>0</v>
      </c>
      <c r="I446" s="24">
        <f>MIN(E446-H446,SUMPRODUCT((YEAR(Hipoteca!$H$4:$H$15)=YEAR(C446))*(MONTH(Hipoteca!$H$4:$H$15)=MONTH(C446))*(Hipoteca!$H$4:$H$15&lt;&gt;"")*Hipoteca!$I$4:$I$15))</f>
        <v>0</v>
      </c>
      <c r="J446" s="24">
        <f>MAX(0,E446-H446-I446)</f>
        <v>0</v>
      </c>
      <c r="K446" s="21">
        <f>IF(E446&lt;=0.005,0,IF(Hipoteca!$C$8="Reducir cuota",$K$6-(B446-1),IFERROR(MAX(1,ROUNDUP(NPER(D445/12,-F445,E446),0)),$K$6-(B446-1))))</f>
        <v>0</v>
      </c>
      <c r="L446" s="21">
        <f>YEAR(C446)</f>
        <v>2063</v>
      </c>
      <c r="N446" s="25">
        <f>R445</f>
        <v>3.171862772433087e-11</v>
      </c>
      <c r="O446" s="25">
        <f>IF(N446&lt;=0.005,0,IF(D446&lt;&gt;D445,PMT(D446/12,Hipoteca!$C$5*12-(B446-1),-N446),O445))</f>
        <v>0</v>
      </c>
      <c r="P446" s="25">
        <f>N446*D446/12</f>
        <v>7.665335033379962e-14</v>
      </c>
      <c r="Q446" s="25">
        <f>IF(N446&lt;=0.005,0,MIN(N446,O446-P446))</f>
        <v>0</v>
      </c>
      <c r="R446" s="25">
        <f>MAX(0,N446-Q446)</f>
        <v>3.171862772433087e-11</v>
      </c>
    </row>
    <row r="447" spans="2:18" ht="18" customHeight="1">
      <c r="B447" s="21">
        <f>ROW()-5</f>
        <v>442</v>
      </c>
      <c r="C447" s="22">
        <f>EDATE(Hipoteca!$C$7,B447-1)</f>
        <v>59749.0</v>
      </c>
      <c r="D447" s="23">
        <f>IFERROR(LOOKUP(2,1/((Hipoteca!$E$4:$E$9&lt;&gt;"")*(Hipoteca!$E$4:$E$9&lt;=C447)),Hipoteca!$F$4:$F$9),Hipoteca!$C$6)</f>
        <v>0.029</v>
      </c>
      <c r="E447" s="24">
        <f>J446</f>
        <v>0</v>
      </c>
      <c r="F447" s="24">
        <f>IF(E447&lt;=0.005,0,MIN(E447*(1+D447/12),IF(OR(Hipoteca!$C$8="Reducir cuota",D447&lt;&gt;D446),PMT(D447/12,K447,-E447),F446)))</f>
        <v>0</v>
      </c>
      <c r="G447" s="24">
        <f>E447*D447/12</f>
        <v>0</v>
      </c>
      <c r="H447" s="24">
        <f>IF(E447&lt;=0.005,0,MIN(E447,F447-G447))</f>
        <v>0</v>
      </c>
      <c r="I447" s="24">
        <f>MIN(E447-H447,SUMPRODUCT((YEAR(Hipoteca!$H$4:$H$15)=YEAR(C447))*(MONTH(Hipoteca!$H$4:$H$15)=MONTH(C447))*(Hipoteca!$H$4:$H$15&lt;&gt;"")*Hipoteca!$I$4:$I$15))</f>
        <v>0</v>
      </c>
      <c r="J447" s="24">
        <f>MAX(0,E447-H447-I447)</f>
        <v>0</v>
      </c>
      <c r="K447" s="21">
        <f>IF(E447&lt;=0.005,0,IF(Hipoteca!$C$8="Reducir cuota",$K$6-(B447-1),IFERROR(MAX(1,ROUNDUP(NPER(D446/12,-F446,E447),0)),$K$6-(B447-1))))</f>
        <v>0</v>
      </c>
      <c r="L447" s="21">
        <f>YEAR(C447)</f>
        <v>2063</v>
      </c>
      <c r="N447" s="25">
        <f>R446</f>
        <v>3.171862772433087e-11</v>
      </c>
      <c r="O447" s="25">
        <f>IF(N447&lt;=0.005,0,IF(D447&lt;&gt;D446,PMT(D447/12,Hipoteca!$C$5*12-(B447-1),-N447),O446))</f>
        <v>0</v>
      </c>
      <c r="P447" s="25">
        <f>N447*D447/12</f>
        <v>7.665335033379962e-14</v>
      </c>
      <c r="Q447" s="25">
        <f>IF(N447&lt;=0.005,0,MIN(N447,O447-P447))</f>
        <v>0</v>
      </c>
      <c r="R447" s="25">
        <f>MAX(0,N447-Q447)</f>
        <v>3.171862772433087e-11</v>
      </c>
    </row>
    <row r="448" spans="2:18" ht="18" customHeight="1">
      <c r="B448" s="21">
        <f>ROW()-5</f>
        <v>443</v>
      </c>
      <c r="C448" s="22">
        <f>EDATE(Hipoteca!$C$7,B448-1)</f>
        <v>59780.0</v>
      </c>
      <c r="D448" s="23">
        <f>IFERROR(LOOKUP(2,1/((Hipoteca!$E$4:$E$9&lt;&gt;"")*(Hipoteca!$E$4:$E$9&lt;=C448)),Hipoteca!$F$4:$F$9),Hipoteca!$C$6)</f>
        <v>0.029</v>
      </c>
      <c r="E448" s="24">
        <f>J447</f>
        <v>0</v>
      </c>
      <c r="F448" s="24">
        <f>IF(E448&lt;=0.005,0,MIN(E448*(1+D448/12),IF(OR(Hipoteca!$C$8="Reducir cuota",D448&lt;&gt;D447),PMT(D448/12,K448,-E448),F447)))</f>
        <v>0</v>
      </c>
      <c r="G448" s="24">
        <f>E448*D448/12</f>
        <v>0</v>
      </c>
      <c r="H448" s="24">
        <f>IF(E448&lt;=0.005,0,MIN(E448,F448-G448))</f>
        <v>0</v>
      </c>
      <c r="I448" s="24">
        <f>MIN(E448-H448,SUMPRODUCT((YEAR(Hipoteca!$H$4:$H$15)=YEAR(C448))*(MONTH(Hipoteca!$H$4:$H$15)=MONTH(C448))*(Hipoteca!$H$4:$H$15&lt;&gt;"")*Hipoteca!$I$4:$I$15))</f>
        <v>0</v>
      </c>
      <c r="J448" s="24">
        <f>MAX(0,E448-H448-I448)</f>
        <v>0</v>
      </c>
      <c r="K448" s="21">
        <f>IF(E448&lt;=0.005,0,IF(Hipoteca!$C$8="Reducir cuota",$K$6-(B448-1),IFERROR(MAX(1,ROUNDUP(NPER(D447/12,-F447,E448),0)),$K$6-(B448-1))))</f>
        <v>0</v>
      </c>
      <c r="L448" s="21">
        <f>YEAR(C448)</f>
        <v>2063</v>
      </c>
      <c r="N448" s="25">
        <f>R447</f>
        <v>3.171862772433087e-11</v>
      </c>
      <c r="O448" s="25">
        <f>IF(N448&lt;=0.005,0,IF(D448&lt;&gt;D447,PMT(D448/12,Hipoteca!$C$5*12-(B448-1),-N448),O447))</f>
        <v>0</v>
      </c>
      <c r="P448" s="25">
        <f>N448*D448/12</f>
        <v>7.665335033379962e-14</v>
      </c>
      <c r="Q448" s="25">
        <f>IF(N448&lt;=0.005,0,MIN(N448,O448-P448))</f>
        <v>0</v>
      </c>
      <c r="R448" s="25">
        <f>MAX(0,N448-Q448)</f>
        <v>3.171862772433087e-11</v>
      </c>
    </row>
    <row r="449" spans="2:18" ht="18" customHeight="1">
      <c r="B449" s="21">
        <f>ROW()-5</f>
        <v>444</v>
      </c>
      <c r="C449" s="22">
        <f>EDATE(Hipoteca!$C$7,B449-1)</f>
        <v>59810.0</v>
      </c>
      <c r="D449" s="23">
        <f>IFERROR(LOOKUP(2,1/((Hipoteca!$E$4:$E$9&lt;&gt;"")*(Hipoteca!$E$4:$E$9&lt;=C449)),Hipoteca!$F$4:$F$9),Hipoteca!$C$6)</f>
        <v>0.029</v>
      </c>
      <c r="E449" s="24">
        <f>J448</f>
        <v>0</v>
      </c>
      <c r="F449" s="24">
        <f>IF(E449&lt;=0.005,0,MIN(E449*(1+D449/12),IF(OR(Hipoteca!$C$8="Reducir cuota",D449&lt;&gt;D448),PMT(D449/12,K449,-E449),F448)))</f>
        <v>0</v>
      </c>
      <c r="G449" s="24">
        <f>E449*D449/12</f>
        <v>0</v>
      </c>
      <c r="H449" s="24">
        <f>IF(E449&lt;=0.005,0,MIN(E449,F449-G449))</f>
        <v>0</v>
      </c>
      <c r="I449" s="24">
        <f>MIN(E449-H449,SUMPRODUCT((YEAR(Hipoteca!$H$4:$H$15)=YEAR(C449))*(MONTH(Hipoteca!$H$4:$H$15)=MONTH(C449))*(Hipoteca!$H$4:$H$15&lt;&gt;"")*Hipoteca!$I$4:$I$15))</f>
        <v>0</v>
      </c>
      <c r="J449" s="24">
        <f>MAX(0,E449-H449-I449)</f>
        <v>0</v>
      </c>
      <c r="K449" s="21">
        <f>IF(E449&lt;=0.005,0,IF(Hipoteca!$C$8="Reducir cuota",$K$6-(B449-1),IFERROR(MAX(1,ROUNDUP(NPER(D448/12,-F448,E449),0)),$K$6-(B449-1))))</f>
        <v>0</v>
      </c>
      <c r="L449" s="21">
        <f>YEAR(C449)</f>
        <v>2063</v>
      </c>
      <c r="N449" s="25">
        <f>R448</f>
        <v>3.171862772433087e-11</v>
      </c>
      <c r="O449" s="25">
        <f>IF(N449&lt;=0.005,0,IF(D449&lt;&gt;D448,PMT(D449/12,Hipoteca!$C$5*12-(B449-1),-N449),O448))</f>
        <v>0</v>
      </c>
      <c r="P449" s="25">
        <f>N449*D449/12</f>
        <v>7.665335033379962e-14</v>
      </c>
      <c r="Q449" s="25">
        <f>IF(N449&lt;=0.005,0,MIN(N449,O449-P449))</f>
        <v>0</v>
      </c>
      <c r="R449" s="25">
        <f>MAX(0,N449-Q449)</f>
        <v>3.171862772433087e-11</v>
      </c>
    </row>
    <row r="450" spans="2:18" ht="18" customHeight="1">
      <c r="B450" s="21">
        <f>ROW()-5</f>
        <v>445</v>
      </c>
      <c r="C450" s="22">
        <f>EDATE(Hipoteca!$C$7,B450-1)</f>
        <v>59841.0</v>
      </c>
      <c r="D450" s="23">
        <f>IFERROR(LOOKUP(2,1/((Hipoteca!$E$4:$E$9&lt;&gt;"")*(Hipoteca!$E$4:$E$9&lt;=C450)),Hipoteca!$F$4:$F$9),Hipoteca!$C$6)</f>
        <v>0.029</v>
      </c>
      <c r="E450" s="24">
        <f>J449</f>
        <v>0</v>
      </c>
      <c r="F450" s="24">
        <f>IF(E450&lt;=0.005,0,MIN(E450*(1+D450/12),IF(OR(Hipoteca!$C$8="Reducir cuota",D450&lt;&gt;D449),PMT(D450/12,K450,-E450),F449)))</f>
        <v>0</v>
      </c>
      <c r="G450" s="24">
        <f>E450*D450/12</f>
        <v>0</v>
      </c>
      <c r="H450" s="24">
        <f>IF(E450&lt;=0.005,0,MIN(E450,F450-G450))</f>
        <v>0</v>
      </c>
      <c r="I450" s="24">
        <f>MIN(E450-H450,SUMPRODUCT((YEAR(Hipoteca!$H$4:$H$15)=YEAR(C450))*(MONTH(Hipoteca!$H$4:$H$15)=MONTH(C450))*(Hipoteca!$H$4:$H$15&lt;&gt;"")*Hipoteca!$I$4:$I$15))</f>
        <v>0</v>
      </c>
      <c r="J450" s="24">
        <f>MAX(0,E450-H450-I450)</f>
        <v>0</v>
      </c>
      <c r="K450" s="21">
        <f>IF(E450&lt;=0.005,0,IF(Hipoteca!$C$8="Reducir cuota",$K$6-(B450-1),IFERROR(MAX(1,ROUNDUP(NPER(D449/12,-F449,E450),0)),$K$6-(B450-1))))</f>
        <v>0</v>
      </c>
      <c r="L450" s="21">
        <f>YEAR(C450)</f>
        <v>2063</v>
      </c>
      <c r="N450" s="25">
        <f>R449</f>
        <v>3.171862772433087e-11</v>
      </c>
      <c r="O450" s="25">
        <f>IF(N450&lt;=0.005,0,IF(D450&lt;&gt;D449,PMT(D450/12,Hipoteca!$C$5*12-(B450-1),-N450),O449))</f>
        <v>0</v>
      </c>
      <c r="P450" s="25">
        <f>N450*D450/12</f>
        <v>7.665335033379962e-14</v>
      </c>
      <c r="Q450" s="25">
        <f>IF(N450&lt;=0.005,0,MIN(N450,O450-P450))</f>
        <v>0</v>
      </c>
      <c r="R450" s="25">
        <f>MAX(0,N450-Q450)</f>
        <v>3.171862772433087e-11</v>
      </c>
    </row>
    <row r="451" spans="2:18" ht="18" customHeight="1">
      <c r="B451" s="21">
        <f>ROW()-5</f>
        <v>446</v>
      </c>
      <c r="C451" s="22">
        <f>EDATE(Hipoteca!$C$7,B451-1)</f>
        <v>59871.0</v>
      </c>
      <c r="D451" s="23">
        <f>IFERROR(LOOKUP(2,1/((Hipoteca!$E$4:$E$9&lt;&gt;"")*(Hipoteca!$E$4:$E$9&lt;=C451)),Hipoteca!$F$4:$F$9),Hipoteca!$C$6)</f>
        <v>0.029</v>
      </c>
      <c r="E451" s="24">
        <f>J450</f>
        <v>0</v>
      </c>
      <c r="F451" s="24">
        <f>IF(E451&lt;=0.005,0,MIN(E451*(1+D451/12),IF(OR(Hipoteca!$C$8="Reducir cuota",D451&lt;&gt;D450),PMT(D451/12,K451,-E451),F450)))</f>
        <v>0</v>
      </c>
      <c r="G451" s="24">
        <f>E451*D451/12</f>
        <v>0</v>
      </c>
      <c r="H451" s="24">
        <f>IF(E451&lt;=0.005,0,MIN(E451,F451-G451))</f>
        <v>0</v>
      </c>
      <c r="I451" s="24">
        <f>MIN(E451-H451,SUMPRODUCT((YEAR(Hipoteca!$H$4:$H$15)=YEAR(C451))*(MONTH(Hipoteca!$H$4:$H$15)=MONTH(C451))*(Hipoteca!$H$4:$H$15&lt;&gt;"")*Hipoteca!$I$4:$I$15))</f>
        <v>0</v>
      </c>
      <c r="J451" s="24">
        <f>MAX(0,E451-H451-I451)</f>
        <v>0</v>
      </c>
      <c r="K451" s="21">
        <f>IF(E451&lt;=0.005,0,IF(Hipoteca!$C$8="Reducir cuota",$K$6-(B451-1),IFERROR(MAX(1,ROUNDUP(NPER(D450/12,-F450,E451),0)),$K$6-(B451-1))))</f>
        <v>0</v>
      </c>
      <c r="L451" s="21">
        <f>YEAR(C451)</f>
        <v>2063</v>
      </c>
      <c r="N451" s="25">
        <f>R450</f>
        <v>3.171862772433087e-11</v>
      </c>
      <c r="O451" s="25">
        <f>IF(N451&lt;=0.005,0,IF(D451&lt;&gt;D450,PMT(D451/12,Hipoteca!$C$5*12-(B451-1),-N451),O450))</f>
        <v>0</v>
      </c>
      <c r="P451" s="25">
        <f>N451*D451/12</f>
        <v>7.665335033379962e-14</v>
      </c>
      <c r="Q451" s="25">
        <f>IF(N451&lt;=0.005,0,MIN(N451,O451-P451))</f>
        <v>0</v>
      </c>
      <c r="R451" s="25">
        <f>MAX(0,N451-Q451)</f>
        <v>3.171862772433087e-11</v>
      </c>
    </row>
    <row r="452" spans="2:18" ht="18" customHeight="1">
      <c r="B452" s="21">
        <f>ROW()-5</f>
        <v>447</v>
      </c>
      <c r="C452" s="22">
        <f>EDATE(Hipoteca!$C$7,B452-1)</f>
        <v>59902.0</v>
      </c>
      <c r="D452" s="23">
        <f>IFERROR(LOOKUP(2,1/((Hipoteca!$E$4:$E$9&lt;&gt;"")*(Hipoteca!$E$4:$E$9&lt;=C452)),Hipoteca!$F$4:$F$9),Hipoteca!$C$6)</f>
        <v>0.029</v>
      </c>
      <c r="E452" s="24">
        <f>J451</f>
        <v>0</v>
      </c>
      <c r="F452" s="24">
        <f>IF(E452&lt;=0.005,0,MIN(E452*(1+D452/12),IF(OR(Hipoteca!$C$8="Reducir cuota",D452&lt;&gt;D451),PMT(D452/12,K452,-E452),F451)))</f>
        <v>0</v>
      </c>
      <c r="G452" s="24">
        <f>E452*D452/12</f>
        <v>0</v>
      </c>
      <c r="H452" s="24">
        <f>IF(E452&lt;=0.005,0,MIN(E452,F452-G452))</f>
        <v>0</v>
      </c>
      <c r="I452" s="24">
        <f>MIN(E452-H452,SUMPRODUCT((YEAR(Hipoteca!$H$4:$H$15)=YEAR(C452))*(MONTH(Hipoteca!$H$4:$H$15)=MONTH(C452))*(Hipoteca!$H$4:$H$15&lt;&gt;"")*Hipoteca!$I$4:$I$15))</f>
        <v>0</v>
      </c>
      <c r="J452" s="24">
        <f>MAX(0,E452-H452-I452)</f>
        <v>0</v>
      </c>
      <c r="K452" s="21">
        <f>IF(E452&lt;=0.005,0,IF(Hipoteca!$C$8="Reducir cuota",$K$6-(B452-1),IFERROR(MAX(1,ROUNDUP(NPER(D451/12,-F451,E452),0)),$K$6-(B452-1))))</f>
        <v>0</v>
      </c>
      <c r="L452" s="21">
        <f>YEAR(C452)</f>
        <v>2064</v>
      </c>
      <c r="N452" s="25">
        <f>R451</f>
        <v>3.171862772433087e-11</v>
      </c>
      <c r="O452" s="25">
        <f>IF(N452&lt;=0.005,0,IF(D452&lt;&gt;D451,PMT(D452/12,Hipoteca!$C$5*12-(B452-1),-N452),O451))</f>
        <v>0</v>
      </c>
      <c r="P452" s="25">
        <f>N452*D452/12</f>
        <v>7.665335033379962e-14</v>
      </c>
      <c r="Q452" s="25">
        <f>IF(N452&lt;=0.005,0,MIN(N452,O452-P452))</f>
        <v>0</v>
      </c>
      <c r="R452" s="25">
        <f>MAX(0,N452-Q452)</f>
        <v>3.171862772433087e-11</v>
      </c>
    </row>
    <row r="453" spans="2:18" ht="18" customHeight="1">
      <c r="B453" s="21">
        <f>ROW()-5</f>
        <v>448</v>
      </c>
      <c r="C453" s="22">
        <f>EDATE(Hipoteca!$C$7,B453-1)</f>
        <v>59933.0</v>
      </c>
      <c r="D453" s="23">
        <f>IFERROR(LOOKUP(2,1/((Hipoteca!$E$4:$E$9&lt;&gt;"")*(Hipoteca!$E$4:$E$9&lt;=C453)),Hipoteca!$F$4:$F$9),Hipoteca!$C$6)</f>
        <v>0.029</v>
      </c>
      <c r="E453" s="24">
        <f>J452</f>
        <v>0</v>
      </c>
      <c r="F453" s="24">
        <f>IF(E453&lt;=0.005,0,MIN(E453*(1+D453/12),IF(OR(Hipoteca!$C$8="Reducir cuota",D453&lt;&gt;D452),PMT(D453/12,K453,-E453),F452)))</f>
        <v>0</v>
      </c>
      <c r="G453" s="24">
        <f>E453*D453/12</f>
        <v>0</v>
      </c>
      <c r="H453" s="24">
        <f>IF(E453&lt;=0.005,0,MIN(E453,F453-G453))</f>
        <v>0</v>
      </c>
      <c r="I453" s="24">
        <f>MIN(E453-H453,SUMPRODUCT((YEAR(Hipoteca!$H$4:$H$15)=YEAR(C453))*(MONTH(Hipoteca!$H$4:$H$15)=MONTH(C453))*(Hipoteca!$H$4:$H$15&lt;&gt;"")*Hipoteca!$I$4:$I$15))</f>
        <v>0</v>
      </c>
      <c r="J453" s="24">
        <f>MAX(0,E453-H453-I453)</f>
        <v>0</v>
      </c>
      <c r="K453" s="21">
        <f>IF(E453&lt;=0.005,0,IF(Hipoteca!$C$8="Reducir cuota",$K$6-(B453-1),IFERROR(MAX(1,ROUNDUP(NPER(D452/12,-F452,E453),0)),$K$6-(B453-1))))</f>
        <v>0</v>
      </c>
      <c r="L453" s="21">
        <f>YEAR(C453)</f>
        <v>2064</v>
      </c>
      <c r="N453" s="25">
        <f>R452</f>
        <v>3.171862772433087e-11</v>
      </c>
      <c r="O453" s="25">
        <f>IF(N453&lt;=0.005,0,IF(D453&lt;&gt;D452,PMT(D453/12,Hipoteca!$C$5*12-(B453-1),-N453),O452))</f>
        <v>0</v>
      </c>
      <c r="P453" s="25">
        <f>N453*D453/12</f>
        <v>7.665335033379962e-14</v>
      </c>
      <c r="Q453" s="25">
        <f>IF(N453&lt;=0.005,0,MIN(N453,O453-P453))</f>
        <v>0</v>
      </c>
      <c r="R453" s="25">
        <f>MAX(0,N453-Q453)</f>
        <v>3.171862772433087e-11</v>
      </c>
    </row>
    <row r="454" spans="2:18" ht="18" customHeight="1">
      <c r="B454" s="21">
        <f>ROW()-5</f>
        <v>449</v>
      </c>
      <c r="C454" s="22">
        <f>EDATE(Hipoteca!$C$7,B454-1)</f>
        <v>59962.0</v>
      </c>
      <c r="D454" s="23">
        <f>IFERROR(LOOKUP(2,1/((Hipoteca!$E$4:$E$9&lt;&gt;"")*(Hipoteca!$E$4:$E$9&lt;=C454)),Hipoteca!$F$4:$F$9),Hipoteca!$C$6)</f>
        <v>0.029</v>
      </c>
      <c r="E454" s="24">
        <f>J453</f>
        <v>0</v>
      </c>
      <c r="F454" s="24">
        <f>IF(E454&lt;=0.005,0,MIN(E454*(1+D454/12),IF(OR(Hipoteca!$C$8="Reducir cuota",D454&lt;&gt;D453),PMT(D454/12,K454,-E454),F453)))</f>
        <v>0</v>
      </c>
      <c r="G454" s="24">
        <f>E454*D454/12</f>
        <v>0</v>
      </c>
      <c r="H454" s="24">
        <f>IF(E454&lt;=0.005,0,MIN(E454,F454-G454))</f>
        <v>0</v>
      </c>
      <c r="I454" s="24">
        <f>MIN(E454-H454,SUMPRODUCT((YEAR(Hipoteca!$H$4:$H$15)=YEAR(C454))*(MONTH(Hipoteca!$H$4:$H$15)=MONTH(C454))*(Hipoteca!$H$4:$H$15&lt;&gt;"")*Hipoteca!$I$4:$I$15))</f>
        <v>0</v>
      </c>
      <c r="J454" s="24">
        <f>MAX(0,E454-H454-I454)</f>
        <v>0</v>
      </c>
      <c r="K454" s="21">
        <f>IF(E454&lt;=0.005,0,IF(Hipoteca!$C$8="Reducir cuota",$K$6-(B454-1),IFERROR(MAX(1,ROUNDUP(NPER(D453/12,-F453,E454),0)),$K$6-(B454-1))))</f>
        <v>0</v>
      </c>
      <c r="L454" s="21">
        <f>YEAR(C454)</f>
        <v>2064</v>
      </c>
      <c r="N454" s="25">
        <f>R453</f>
        <v>3.171862772433087e-11</v>
      </c>
      <c r="O454" s="25">
        <f>IF(N454&lt;=0.005,0,IF(D454&lt;&gt;D453,PMT(D454/12,Hipoteca!$C$5*12-(B454-1),-N454),O453))</f>
        <v>0</v>
      </c>
      <c r="P454" s="25">
        <f>N454*D454/12</f>
        <v>7.665335033379962e-14</v>
      </c>
      <c r="Q454" s="25">
        <f>IF(N454&lt;=0.005,0,MIN(N454,O454-P454))</f>
        <v>0</v>
      </c>
      <c r="R454" s="25">
        <f>MAX(0,N454-Q454)</f>
        <v>3.171862772433087e-11</v>
      </c>
    </row>
    <row r="455" spans="2:18" ht="18" customHeight="1">
      <c r="B455" s="21">
        <f>ROW()-5</f>
        <v>450</v>
      </c>
      <c r="C455" s="22">
        <f>EDATE(Hipoteca!$C$7,B455-1)</f>
        <v>59993.0</v>
      </c>
      <c r="D455" s="23">
        <f>IFERROR(LOOKUP(2,1/((Hipoteca!$E$4:$E$9&lt;&gt;"")*(Hipoteca!$E$4:$E$9&lt;=C455)),Hipoteca!$F$4:$F$9),Hipoteca!$C$6)</f>
        <v>0.029</v>
      </c>
      <c r="E455" s="24">
        <f>J454</f>
        <v>0</v>
      </c>
      <c r="F455" s="24">
        <f>IF(E455&lt;=0.005,0,MIN(E455*(1+D455/12),IF(OR(Hipoteca!$C$8="Reducir cuota",D455&lt;&gt;D454),PMT(D455/12,K455,-E455),F454)))</f>
        <v>0</v>
      </c>
      <c r="G455" s="24">
        <f>E455*D455/12</f>
        <v>0</v>
      </c>
      <c r="H455" s="24">
        <f>IF(E455&lt;=0.005,0,MIN(E455,F455-G455))</f>
        <v>0</v>
      </c>
      <c r="I455" s="24">
        <f>MIN(E455-H455,SUMPRODUCT((YEAR(Hipoteca!$H$4:$H$15)=YEAR(C455))*(MONTH(Hipoteca!$H$4:$H$15)=MONTH(C455))*(Hipoteca!$H$4:$H$15&lt;&gt;"")*Hipoteca!$I$4:$I$15))</f>
        <v>0</v>
      </c>
      <c r="J455" s="24">
        <f>MAX(0,E455-H455-I455)</f>
        <v>0</v>
      </c>
      <c r="K455" s="21">
        <f>IF(E455&lt;=0.005,0,IF(Hipoteca!$C$8="Reducir cuota",$K$6-(B455-1),IFERROR(MAX(1,ROUNDUP(NPER(D454/12,-F454,E455),0)),$K$6-(B455-1))))</f>
        <v>0</v>
      </c>
      <c r="L455" s="21">
        <f>YEAR(C455)</f>
        <v>2064</v>
      </c>
      <c r="N455" s="25">
        <f>R454</f>
        <v>3.171862772433087e-11</v>
      </c>
      <c r="O455" s="25">
        <f>IF(N455&lt;=0.005,0,IF(D455&lt;&gt;D454,PMT(D455/12,Hipoteca!$C$5*12-(B455-1),-N455),O454))</f>
        <v>0</v>
      </c>
      <c r="P455" s="25">
        <f>N455*D455/12</f>
        <v>7.665335033379962e-14</v>
      </c>
      <c r="Q455" s="25">
        <f>IF(N455&lt;=0.005,0,MIN(N455,O455-P455))</f>
        <v>0</v>
      </c>
      <c r="R455" s="25">
        <f>MAX(0,N455-Q455)</f>
        <v>3.171862772433087e-11</v>
      </c>
    </row>
    <row r="456" spans="2:18" ht="18" customHeight="1">
      <c r="B456" s="21">
        <f>ROW()-5</f>
        <v>451</v>
      </c>
      <c r="C456" s="22">
        <f>EDATE(Hipoteca!$C$7,B456-1)</f>
        <v>60023.0</v>
      </c>
      <c r="D456" s="23">
        <f>IFERROR(LOOKUP(2,1/((Hipoteca!$E$4:$E$9&lt;&gt;"")*(Hipoteca!$E$4:$E$9&lt;=C456)),Hipoteca!$F$4:$F$9),Hipoteca!$C$6)</f>
        <v>0.029</v>
      </c>
      <c r="E456" s="24">
        <f>J455</f>
        <v>0</v>
      </c>
      <c r="F456" s="24">
        <f>IF(E456&lt;=0.005,0,MIN(E456*(1+D456/12),IF(OR(Hipoteca!$C$8="Reducir cuota",D456&lt;&gt;D455),PMT(D456/12,K456,-E456),F455)))</f>
        <v>0</v>
      </c>
      <c r="G456" s="24">
        <f>E456*D456/12</f>
        <v>0</v>
      </c>
      <c r="H456" s="24">
        <f>IF(E456&lt;=0.005,0,MIN(E456,F456-G456))</f>
        <v>0</v>
      </c>
      <c r="I456" s="24">
        <f>MIN(E456-H456,SUMPRODUCT((YEAR(Hipoteca!$H$4:$H$15)=YEAR(C456))*(MONTH(Hipoteca!$H$4:$H$15)=MONTH(C456))*(Hipoteca!$H$4:$H$15&lt;&gt;"")*Hipoteca!$I$4:$I$15))</f>
        <v>0</v>
      </c>
      <c r="J456" s="24">
        <f>MAX(0,E456-H456-I456)</f>
        <v>0</v>
      </c>
      <c r="K456" s="21">
        <f>IF(E456&lt;=0.005,0,IF(Hipoteca!$C$8="Reducir cuota",$K$6-(B456-1),IFERROR(MAX(1,ROUNDUP(NPER(D455/12,-F455,E456),0)),$K$6-(B456-1))))</f>
        <v>0</v>
      </c>
      <c r="L456" s="21">
        <f>YEAR(C456)</f>
        <v>2064</v>
      </c>
      <c r="N456" s="25">
        <f>R455</f>
        <v>3.171862772433087e-11</v>
      </c>
      <c r="O456" s="25">
        <f>IF(N456&lt;=0.005,0,IF(D456&lt;&gt;D455,PMT(D456/12,Hipoteca!$C$5*12-(B456-1),-N456),O455))</f>
        <v>0</v>
      </c>
      <c r="P456" s="25">
        <f>N456*D456/12</f>
        <v>7.665335033379962e-14</v>
      </c>
      <c r="Q456" s="25">
        <f>IF(N456&lt;=0.005,0,MIN(N456,O456-P456))</f>
        <v>0</v>
      </c>
      <c r="R456" s="25">
        <f>MAX(0,N456-Q456)</f>
        <v>3.171862772433087e-11</v>
      </c>
    </row>
    <row r="457" spans="2:18" ht="18" customHeight="1">
      <c r="B457" s="21">
        <f>ROW()-5</f>
        <v>452</v>
      </c>
      <c r="C457" s="22">
        <f>EDATE(Hipoteca!$C$7,B457-1)</f>
        <v>60054.0</v>
      </c>
      <c r="D457" s="23">
        <f>IFERROR(LOOKUP(2,1/((Hipoteca!$E$4:$E$9&lt;&gt;"")*(Hipoteca!$E$4:$E$9&lt;=C457)),Hipoteca!$F$4:$F$9),Hipoteca!$C$6)</f>
        <v>0.029</v>
      </c>
      <c r="E457" s="24">
        <f>J456</f>
        <v>0</v>
      </c>
      <c r="F457" s="24">
        <f>IF(E457&lt;=0.005,0,MIN(E457*(1+D457/12),IF(OR(Hipoteca!$C$8="Reducir cuota",D457&lt;&gt;D456),PMT(D457/12,K457,-E457),F456)))</f>
        <v>0</v>
      </c>
      <c r="G457" s="24">
        <f>E457*D457/12</f>
        <v>0</v>
      </c>
      <c r="H457" s="24">
        <f>IF(E457&lt;=0.005,0,MIN(E457,F457-G457))</f>
        <v>0</v>
      </c>
      <c r="I457" s="24">
        <f>MIN(E457-H457,SUMPRODUCT((YEAR(Hipoteca!$H$4:$H$15)=YEAR(C457))*(MONTH(Hipoteca!$H$4:$H$15)=MONTH(C457))*(Hipoteca!$H$4:$H$15&lt;&gt;"")*Hipoteca!$I$4:$I$15))</f>
        <v>0</v>
      </c>
      <c r="J457" s="24">
        <f>MAX(0,E457-H457-I457)</f>
        <v>0</v>
      </c>
      <c r="K457" s="21">
        <f>IF(E457&lt;=0.005,0,IF(Hipoteca!$C$8="Reducir cuota",$K$6-(B457-1),IFERROR(MAX(1,ROUNDUP(NPER(D456/12,-F456,E457),0)),$K$6-(B457-1))))</f>
        <v>0</v>
      </c>
      <c r="L457" s="21">
        <f>YEAR(C457)</f>
        <v>2064</v>
      </c>
      <c r="N457" s="25">
        <f>R456</f>
        <v>3.171862772433087e-11</v>
      </c>
      <c r="O457" s="25">
        <f>IF(N457&lt;=0.005,0,IF(D457&lt;&gt;D456,PMT(D457/12,Hipoteca!$C$5*12-(B457-1),-N457),O456))</f>
        <v>0</v>
      </c>
      <c r="P457" s="25">
        <f>N457*D457/12</f>
        <v>7.665335033379962e-14</v>
      </c>
      <c r="Q457" s="25">
        <f>IF(N457&lt;=0.005,0,MIN(N457,O457-P457))</f>
        <v>0</v>
      </c>
      <c r="R457" s="25">
        <f>MAX(0,N457-Q457)</f>
        <v>3.171862772433087e-11</v>
      </c>
    </row>
    <row r="458" spans="2:18" ht="18" customHeight="1">
      <c r="B458" s="21">
        <f>ROW()-5</f>
        <v>453</v>
      </c>
      <c r="C458" s="22">
        <f>EDATE(Hipoteca!$C$7,B458-1)</f>
        <v>60084.0</v>
      </c>
      <c r="D458" s="23">
        <f>IFERROR(LOOKUP(2,1/((Hipoteca!$E$4:$E$9&lt;&gt;"")*(Hipoteca!$E$4:$E$9&lt;=C458)),Hipoteca!$F$4:$F$9),Hipoteca!$C$6)</f>
        <v>0.029</v>
      </c>
      <c r="E458" s="24">
        <f>J457</f>
        <v>0</v>
      </c>
      <c r="F458" s="24">
        <f>IF(E458&lt;=0.005,0,MIN(E458*(1+D458/12),IF(OR(Hipoteca!$C$8="Reducir cuota",D458&lt;&gt;D457),PMT(D458/12,K458,-E458),F457)))</f>
        <v>0</v>
      </c>
      <c r="G458" s="24">
        <f>E458*D458/12</f>
        <v>0</v>
      </c>
      <c r="H458" s="24">
        <f>IF(E458&lt;=0.005,0,MIN(E458,F458-G458))</f>
        <v>0</v>
      </c>
      <c r="I458" s="24">
        <f>MIN(E458-H458,SUMPRODUCT((YEAR(Hipoteca!$H$4:$H$15)=YEAR(C458))*(MONTH(Hipoteca!$H$4:$H$15)=MONTH(C458))*(Hipoteca!$H$4:$H$15&lt;&gt;"")*Hipoteca!$I$4:$I$15))</f>
        <v>0</v>
      </c>
      <c r="J458" s="24">
        <f>MAX(0,E458-H458-I458)</f>
        <v>0</v>
      </c>
      <c r="K458" s="21">
        <f>IF(E458&lt;=0.005,0,IF(Hipoteca!$C$8="Reducir cuota",$K$6-(B458-1),IFERROR(MAX(1,ROUNDUP(NPER(D457/12,-F457,E458),0)),$K$6-(B458-1))))</f>
        <v>0</v>
      </c>
      <c r="L458" s="21">
        <f>YEAR(C458)</f>
        <v>2064</v>
      </c>
      <c r="N458" s="25">
        <f>R457</f>
        <v>3.171862772433087e-11</v>
      </c>
      <c r="O458" s="25">
        <f>IF(N458&lt;=0.005,0,IF(D458&lt;&gt;D457,PMT(D458/12,Hipoteca!$C$5*12-(B458-1),-N458),O457))</f>
        <v>0</v>
      </c>
      <c r="P458" s="25">
        <f>N458*D458/12</f>
        <v>7.665335033379962e-14</v>
      </c>
      <c r="Q458" s="25">
        <f>IF(N458&lt;=0.005,0,MIN(N458,O458-P458))</f>
        <v>0</v>
      </c>
      <c r="R458" s="25">
        <f>MAX(0,N458-Q458)</f>
        <v>3.171862772433087e-11</v>
      </c>
    </row>
    <row r="459" spans="2:18" ht="18" customHeight="1">
      <c r="B459" s="21">
        <f>ROW()-5</f>
        <v>454</v>
      </c>
      <c r="C459" s="22">
        <f>EDATE(Hipoteca!$C$7,B459-1)</f>
        <v>60115.0</v>
      </c>
      <c r="D459" s="23">
        <f>IFERROR(LOOKUP(2,1/((Hipoteca!$E$4:$E$9&lt;&gt;"")*(Hipoteca!$E$4:$E$9&lt;=C459)),Hipoteca!$F$4:$F$9),Hipoteca!$C$6)</f>
        <v>0.029</v>
      </c>
      <c r="E459" s="24">
        <f>J458</f>
        <v>0</v>
      </c>
      <c r="F459" s="24">
        <f>IF(E459&lt;=0.005,0,MIN(E459*(1+D459/12),IF(OR(Hipoteca!$C$8="Reducir cuota",D459&lt;&gt;D458),PMT(D459/12,K459,-E459),F458)))</f>
        <v>0</v>
      </c>
      <c r="G459" s="24">
        <f>E459*D459/12</f>
        <v>0</v>
      </c>
      <c r="H459" s="24">
        <f>IF(E459&lt;=0.005,0,MIN(E459,F459-G459))</f>
        <v>0</v>
      </c>
      <c r="I459" s="24">
        <f>MIN(E459-H459,SUMPRODUCT((YEAR(Hipoteca!$H$4:$H$15)=YEAR(C459))*(MONTH(Hipoteca!$H$4:$H$15)=MONTH(C459))*(Hipoteca!$H$4:$H$15&lt;&gt;"")*Hipoteca!$I$4:$I$15))</f>
        <v>0</v>
      </c>
      <c r="J459" s="24">
        <f>MAX(0,E459-H459-I459)</f>
        <v>0</v>
      </c>
      <c r="K459" s="21">
        <f>IF(E459&lt;=0.005,0,IF(Hipoteca!$C$8="Reducir cuota",$K$6-(B459-1),IFERROR(MAX(1,ROUNDUP(NPER(D458/12,-F458,E459),0)),$K$6-(B459-1))))</f>
        <v>0</v>
      </c>
      <c r="L459" s="21">
        <f>YEAR(C459)</f>
        <v>2064</v>
      </c>
      <c r="N459" s="25">
        <f>R458</f>
        <v>3.171862772433087e-11</v>
      </c>
      <c r="O459" s="25">
        <f>IF(N459&lt;=0.005,0,IF(D459&lt;&gt;D458,PMT(D459/12,Hipoteca!$C$5*12-(B459-1),-N459),O458))</f>
        <v>0</v>
      </c>
      <c r="P459" s="25">
        <f>N459*D459/12</f>
        <v>7.665335033379962e-14</v>
      </c>
      <c r="Q459" s="25">
        <f>IF(N459&lt;=0.005,0,MIN(N459,O459-P459))</f>
        <v>0</v>
      </c>
      <c r="R459" s="25">
        <f>MAX(0,N459-Q459)</f>
        <v>3.171862772433087e-11</v>
      </c>
    </row>
    <row r="460" spans="2:18" ht="18" customHeight="1">
      <c r="B460" s="21">
        <f>ROW()-5</f>
        <v>455</v>
      </c>
      <c r="C460" s="22">
        <f>EDATE(Hipoteca!$C$7,B460-1)</f>
        <v>60146.0</v>
      </c>
      <c r="D460" s="23">
        <f>IFERROR(LOOKUP(2,1/((Hipoteca!$E$4:$E$9&lt;&gt;"")*(Hipoteca!$E$4:$E$9&lt;=C460)),Hipoteca!$F$4:$F$9),Hipoteca!$C$6)</f>
        <v>0.029</v>
      </c>
      <c r="E460" s="24">
        <f>J459</f>
        <v>0</v>
      </c>
      <c r="F460" s="24">
        <f>IF(E460&lt;=0.005,0,MIN(E460*(1+D460/12),IF(OR(Hipoteca!$C$8="Reducir cuota",D460&lt;&gt;D459),PMT(D460/12,K460,-E460),F459)))</f>
        <v>0</v>
      </c>
      <c r="G460" s="24">
        <f>E460*D460/12</f>
        <v>0</v>
      </c>
      <c r="H460" s="24">
        <f>IF(E460&lt;=0.005,0,MIN(E460,F460-G460))</f>
        <v>0</v>
      </c>
      <c r="I460" s="24">
        <f>MIN(E460-H460,SUMPRODUCT((YEAR(Hipoteca!$H$4:$H$15)=YEAR(C460))*(MONTH(Hipoteca!$H$4:$H$15)=MONTH(C460))*(Hipoteca!$H$4:$H$15&lt;&gt;"")*Hipoteca!$I$4:$I$15))</f>
        <v>0</v>
      </c>
      <c r="J460" s="24">
        <f>MAX(0,E460-H460-I460)</f>
        <v>0</v>
      </c>
      <c r="K460" s="21">
        <f>IF(E460&lt;=0.005,0,IF(Hipoteca!$C$8="Reducir cuota",$K$6-(B460-1),IFERROR(MAX(1,ROUNDUP(NPER(D459/12,-F459,E460),0)),$K$6-(B460-1))))</f>
        <v>0</v>
      </c>
      <c r="L460" s="21">
        <f>YEAR(C460)</f>
        <v>2064</v>
      </c>
      <c r="N460" s="25">
        <f>R459</f>
        <v>3.171862772433087e-11</v>
      </c>
      <c r="O460" s="25">
        <f>IF(N460&lt;=0.005,0,IF(D460&lt;&gt;D459,PMT(D460/12,Hipoteca!$C$5*12-(B460-1),-N460),O459))</f>
        <v>0</v>
      </c>
      <c r="P460" s="25">
        <f>N460*D460/12</f>
        <v>7.665335033379962e-14</v>
      </c>
      <c r="Q460" s="25">
        <f>IF(N460&lt;=0.005,0,MIN(N460,O460-P460))</f>
        <v>0</v>
      </c>
      <c r="R460" s="25">
        <f>MAX(0,N460-Q460)</f>
        <v>3.171862772433087e-11</v>
      </c>
    </row>
    <row r="461" spans="2:18" ht="18" customHeight="1">
      <c r="B461" s="21">
        <f>ROW()-5</f>
        <v>456</v>
      </c>
      <c r="C461" s="22">
        <f>EDATE(Hipoteca!$C$7,B461-1)</f>
        <v>60176.0</v>
      </c>
      <c r="D461" s="23">
        <f>IFERROR(LOOKUP(2,1/((Hipoteca!$E$4:$E$9&lt;&gt;"")*(Hipoteca!$E$4:$E$9&lt;=C461)),Hipoteca!$F$4:$F$9),Hipoteca!$C$6)</f>
        <v>0.029</v>
      </c>
      <c r="E461" s="24">
        <f>J460</f>
        <v>0</v>
      </c>
      <c r="F461" s="24">
        <f>IF(E461&lt;=0.005,0,MIN(E461*(1+D461/12),IF(OR(Hipoteca!$C$8="Reducir cuota",D461&lt;&gt;D460),PMT(D461/12,K461,-E461),F460)))</f>
        <v>0</v>
      </c>
      <c r="G461" s="24">
        <f>E461*D461/12</f>
        <v>0</v>
      </c>
      <c r="H461" s="24">
        <f>IF(E461&lt;=0.005,0,MIN(E461,F461-G461))</f>
        <v>0</v>
      </c>
      <c r="I461" s="24">
        <f>MIN(E461-H461,SUMPRODUCT((YEAR(Hipoteca!$H$4:$H$15)=YEAR(C461))*(MONTH(Hipoteca!$H$4:$H$15)=MONTH(C461))*(Hipoteca!$H$4:$H$15&lt;&gt;"")*Hipoteca!$I$4:$I$15))</f>
        <v>0</v>
      </c>
      <c r="J461" s="24">
        <f>MAX(0,E461-H461-I461)</f>
        <v>0</v>
      </c>
      <c r="K461" s="21">
        <f>IF(E461&lt;=0.005,0,IF(Hipoteca!$C$8="Reducir cuota",$K$6-(B461-1),IFERROR(MAX(1,ROUNDUP(NPER(D460/12,-F460,E461),0)),$K$6-(B461-1))))</f>
        <v>0</v>
      </c>
      <c r="L461" s="21">
        <f>YEAR(C461)</f>
        <v>2064</v>
      </c>
      <c r="N461" s="25">
        <f>R460</f>
        <v>3.171862772433087e-11</v>
      </c>
      <c r="O461" s="25">
        <f>IF(N461&lt;=0.005,0,IF(D461&lt;&gt;D460,PMT(D461/12,Hipoteca!$C$5*12-(B461-1),-N461),O460))</f>
        <v>0</v>
      </c>
      <c r="P461" s="25">
        <f>N461*D461/12</f>
        <v>7.665335033379962e-14</v>
      </c>
      <c r="Q461" s="25">
        <f>IF(N461&lt;=0.005,0,MIN(N461,O461-P461))</f>
        <v>0</v>
      </c>
      <c r="R461" s="25">
        <f>MAX(0,N461-Q461)</f>
        <v>3.171862772433087e-11</v>
      </c>
    </row>
    <row r="462" spans="2:18" ht="18" customHeight="1">
      <c r="B462" s="21">
        <f>ROW()-5</f>
        <v>457</v>
      </c>
      <c r="C462" s="22">
        <f>EDATE(Hipoteca!$C$7,B462-1)</f>
        <v>60207.0</v>
      </c>
      <c r="D462" s="23">
        <f>IFERROR(LOOKUP(2,1/((Hipoteca!$E$4:$E$9&lt;&gt;"")*(Hipoteca!$E$4:$E$9&lt;=C462)),Hipoteca!$F$4:$F$9),Hipoteca!$C$6)</f>
        <v>0.029</v>
      </c>
      <c r="E462" s="24">
        <f>J461</f>
        <v>0</v>
      </c>
      <c r="F462" s="24">
        <f>IF(E462&lt;=0.005,0,MIN(E462*(1+D462/12),IF(OR(Hipoteca!$C$8="Reducir cuota",D462&lt;&gt;D461),PMT(D462/12,K462,-E462),F461)))</f>
        <v>0</v>
      </c>
      <c r="G462" s="24">
        <f>E462*D462/12</f>
        <v>0</v>
      </c>
      <c r="H462" s="24">
        <f>IF(E462&lt;=0.005,0,MIN(E462,F462-G462))</f>
        <v>0</v>
      </c>
      <c r="I462" s="24">
        <f>MIN(E462-H462,SUMPRODUCT((YEAR(Hipoteca!$H$4:$H$15)=YEAR(C462))*(MONTH(Hipoteca!$H$4:$H$15)=MONTH(C462))*(Hipoteca!$H$4:$H$15&lt;&gt;"")*Hipoteca!$I$4:$I$15))</f>
        <v>0</v>
      </c>
      <c r="J462" s="24">
        <f>MAX(0,E462-H462-I462)</f>
        <v>0</v>
      </c>
      <c r="K462" s="21">
        <f>IF(E462&lt;=0.005,0,IF(Hipoteca!$C$8="Reducir cuota",$K$6-(B462-1),IFERROR(MAX(1,ROUNDUP(NPER(D461/12,-F461,E462),0)),$K$6-(B462-1))))</f>
        <v>0</v>
      </c>
      <c r="L462" s="21">
        <f>YEAR(C462)</f>
        <v>2064</v>
      </c>
      <c r="N462" s="25">
        <f>R461</f>
        <v>3.171862772433087e-11</v>
      </c>
      <c r="O462" s="25">
        <f>IF(N462&lt;=0.005,0,IF(D462&lt;&gt;D461,PMT(D462/12,Hipoteca!$C$5*12-(B462-1),-N462),O461))</f>
        <v>0</v>
      </c>
      <c r="P462" s="25">
        <f>N462*D462/12</f>
        <v>7.665335033379962e-14</v>
      </c>
      <c r="Q462" s="25">
        <f>IF(N462&lt;=0.005,0,MIN(N462,O462-P462))</f>
        <v>0</v>
      </c>
      <c r="R462" s="25">
        <f>MAX(0,N462-Q462)</f>
        <v>3.171862772433087e-11</v>
      </c>
    </row>
    <row r="463" spans="2:18" ht="18" customHeight="1">
      <c r="B463" s="21">
        <f>ROW()-5</f>
        <v>458</v>
      </c>
      <c r="C463" s="22">
        <f>EDATE(Hipoteca!$C$7,B463-1)</f>
        <v>60237.0</v>
      </c>
      <c r="D463" s="23">
        <f>IFERROR(LOOKUP(2,1/((Hipoteca!$E$4:$E$9&lt;&gt;"")*(Hipoteca!$E$4:$E$9&lt;=C463)),Hipoteca!$F$4:$F$9),Hipoteca!$C$6)</f>
        <v>0.029</v>
      </c>
      <c r="E463" s="24">
        <f>J462</f>
        <v>0</v>
      </c>
      <c r="F463" s="24">
        <f>IF(E463&lt;=0.005,0,MIN(E463*(1+D463/12),IF(OR(Hipoteca!$C$8="Reducir cuota",D463&lt;&gt;D462),PMT(D463/12,K463,-E463),F462)))</f>
        <v>0</v>
      </c>
      <c r="G463" s="24">
        <f>E463*D463/12</f>
        <v>0</v>
      </c>
      <c r="H463" s="24">
        <f>IF(E463&lt;=0.005,0,MIN(E463,F463-G463))</f>
        <v>0</v>
      </c>
      <c r="I463" s="24">
        <f>MIN(E463-H463,SUMPRODUCT((YEAR(Hipoteca!$H$4:$H$15)=YEAR(C463))*(MONTH(Hipoteca!$H$4:$H$15)=MONTH(C463))*(Hipoteca!$H$4:$H$15&lt;&gt;"")*Hipoteca!$I$4:$I$15))</f>
        <v>0</v>
      </c>
      <c r="J463" s="24">
        <f>MAX(0,E463-H463-I463)</f>
        <v>0</v>
      </c>
      <c r="K463" s="21">
        <f>IF(E463&lt;=0.005,0,IF(Hipoteca!$C$8="Reducir cuota",$K$6-(B463-1),IFERROR(MAX(1,ROUNDUP(NPER(D462/12,-F462,E463),0)),$K$6-(B463-1))))</f>
        <v>0</v>
      </c>
      <c r="L463" s="21">
        <f>YEAR(C463)</f>
        <v>2064</v>
      </c>
      <c r="N463" s="25">
        <f>R462</f>
        <v>3.171862772433087e-11</v>
      </c>
      <c r="O463" s="25">
        <f>IF(N463&lt;=0.005,0,IF(D463&lt;&gt;D462,PMT(D463/12,Hipoteca!$C$5*12-(B463-1),-N463),O462))</f>
        <v>0</v>
      </c>
      <c r="P463" s="25">
        <f>N463*D463/12</f>
        <v>7.665335033379962e-14</v>
      </c>
      <c r="Q463" s="25">
        <f>IF(N463&lt;=0.005,0,MIN(N463,O463-P463))</f>
        <v>0</v>
      </c>
      <c r="R463" s="25">
        <f>MAX(0,N463-Q463)</f>
        <v>3.171862772433087e-11</v>
      </c>
    </row>
    <row r="464" spans="2:18" ht="18" customHeight="1">
      <c r="B464" s="21">
        <f>ROW()-5</f>
        <v>459</v>
      </c>
      <c r="C464" s="22">
        <f>EDATE(Hipoteca!$C$7,B464-1)</f>
        <v>60268.0</v>
      </c>
      <c r="D464" s="23">
        <f>IFERROR(LOOKUP(2,1/((Hipoteca!$E$4:$E$9&lt;&gt;"")*(Hipoteca!$E$4:$E$9&lt;=C464)),Hipoteca!$F$4:$F$9),Hipoteca!$C$6)</f>
        <v>0.029</v>
      </c>
      <c r="E464" s="24">
        <f>J463</f>
        <v>0</v>
      </c>
      <c r="F464" s="24">
        <f>IF(E464&lt;=0.005,0,MIN(E464*(1+D464/12),IF(OR(Hipoteca!$C$8="Reducir cuota",D464&lt;&gt;D463),PMT(D464/12,K464,-E464),F463)))</f>
        <v>0</v>
      </c>
      <c r="G464" s="24">
        <f>E464*D464/12</f>
        <v>0</v>
      </c>
      <c r="H464" s="24">
        <f>IF(E464&lt;=0.005,0,MIN(E464,F464-G464))</f>
        <v>0</v>
      </c>
      <c r="I464" s="24">
        <f>MIN(E464-H464,SUMPRODUCT((YEAR(Hipoteca!$H$4:$H$15)=YEAR(C464))*(MONTH(Hipoteca!$H$4:$H$15)=MONTH(C464))*(Hipoteca!$H$4:$H$15&lt;&gt;"")*Hipoteca!$I$4:$I$15))</f>
        <v>0</v>
      </c>
      <c r="J464" s="24">
        <f>MAX(0,E464-H464-I464)</f>
        <v>0</v>
      </c>
      <c r="K464" s="21">
        <f>IF(E464&lt;=0.005,0,IF(Hipoteca!$C$8="Reducir cuota",$K$6-(B464-1),IFERROR(MAX(1,ROUNDUP(NPER(D463/12,-F463,E464),0)),$K$6-(B464-1))))</f>
        <v>0</v>
      </c>
      <c r="L464" s="21">
        <f>YEAR(C464)</f>
        <v>2065</v>
      </c>
      <c r="N464" s="25">
        <f>R463</f>
        <v>3.171862772433087e-11</v>
      </c>
      <c r="O464" s="25">
        <f>IF(N464&lt;=0.005,0,IF(D464&lt;&gt;D463,PMT(D464/12,Hipoteca!$C$5*12-(B464-1),-N464),O463))</f>
        <v>0</v>
      </c>
      <c r="P464" s="25">
        <f>N464*D464/12</f>
        <v>7.665335033379962e-14</v>
      </c>
      <c r="Q464" s="25">
        <f>IF(N464&lt;=0.005,0,MIN(N464,O464-P464))</f>
        <v>0</v>
      </c>
      <c r="R464" s="25">
        <f>MAX(0,N464-Q464)</f>
        <v>3.171862772433087e-11</v>
      </c>
    </row>
    <row r="465" spans="2:18" ht="18" customHeight="1">
      <c r="B465" s="21">
        <f>ROW()-5</f>
        <v>460</v>
      </c>
      <c r="C465" s="22">
        <f>EDATE(Hipoteca!$C$7,B465-1)</f>
        <v>60299.0</v>
      </c>
      <c r="D465" s="23">
        <f>IFERROR(LOOKUP(2,1/((Hipoteca!$E$4:$E$9&lt;&gt;"")*(Hipoteca!$E$4:$E$9&lt;=C465)),Hipoteca!$F$4:$F$9),Hipoteca!$C$6)</f>
        <v>0.029</v>
      </c>
      <c r="E465" s="24">
        <f>J464</f>
        <v>0</v>
      </c>
      <c r="F465" s="24">
        <f>IF(E465&lt;=0.005,0,MIN(E465*(1+D465/12),IF(OR(Hipoteca!$C$8="Reducir cuota",D465&lt;&gt;D464),PMT(D465/12,K465,-E465),F464)))</f>
        <v>0</v>
      </c>
      <c r="G465" s="24">
        <f>E465*D465/12</f>
        <v>0</v>
      </c>
      <c r="H465" s="24">
        <f>IF(E465&lt;=0.005,0,MIN(E465,F465-G465))</f>
        <v>0</v>
      </c>
      <c r="I465" s="24">
        <f>MIN(E465-H465,SUMPRODUCT((YEAR(Hipoteca!$H$4:$H$15)=YEAR(C465))*(MONTH(Hipoteca!$H$4:$H$15)=MONTH(C465))*(Hipoteca!$H$4:$H$15&lt;&gt;"")*Hipoteca!$I$4:$I$15))</f>
        <v>0</v>
      </c>
      <c r="J465" s="24">
        <f>MAX(0,E465-H465-I465)</f>
        <v>0</v>
      </c>
      <c r="K465" s="21">
        <f>IF(E465&lt;=0.005,0,IF(Hipoteca!$C$8="Reducir cuota",$K$6-(B465-1),IFERROR(MAX(1,ROUNDUP(NPER(D464/12,-F464,E465),0)),$K$6-(B465-1))))</f>
        <v>0</v>
      </c>
      <c r="L465" s="21">
        <f>YEAR(C465)</f>
        <v>2065</v>
      </c>
      <c r="N465" s="25">
        <f>R464</f>
        <v>3.171862772433087e-11</v>
      </c>
      <c r="O465" s="25">
        <f>IF(N465&lt;=0.005,0,IF(D465&lt;&gt;D464,PMT(D465/12,Hipoteca!$C$5*12-(B465-1),-N465),O464))</f>
        <v>0</v>
      </c>
      <c r="P465" s="25">
        <f>N465*D465/12</f>
        <v>7.665335033379962e-14</v>
      </c>
      <c r="Q465" s="25">
        <f>IF(N465&lt;=0.005,0,MIN(N465,O465-P465))</f>
        <v>0</v>
      </c>
      <c r="R465" s="25">
        <f>MAX(0,N465-Q465)</f>
        <v>3.171862772433087e-11</v>
      </c>
    </row>
    <row r="466" spans="2:18" ht="18" customHeight="1">
      <c r="B466" s="21">
        <f>ROW()-5</f>
        <v>461</v>
      </c>
      <c r="C466" s="22">
        <f>EDATE(Hipoteca!$C$7,B466-1)</f>
        <v>60327.0</v>
      </c>
      <c r="D466" s="23">
        <f>IFERROR(LOOKUP(2,1/((Hipoteca!$E$4:$E$9&lt;&gt;"")*(Hipoteca!$E$4:$E$9&lt;=C466)),Hipoteca!$F$4:$F$9),Hipoteca!$C$6)</f>
        <v>0.029</v>
      </c>
      <c r="E466" s="24">
        <f>J465</f>
        <v>0</v>
      </c>
      <c r="F466" s="24">
        <f>IF(E466&lt;=0.005,0,MIN(E466*(1+D466/12),IF(OR(Hipoteca!$C$8="Reducir cuota",D466&lt;&gt;D465),PMT(D466/12,K466,-E466),F465)))</f>
        <v>0</v>
      </c>
      <c r="G466" s="24">
        <f>E466*D466/12</f>
        <v>0</v>
      </c>
      <c r="H466" s="24">
        <f>IF(E466&lt;=0.005,0,MIN(E466,F466-G466))</f>
        <v>0</v>
      </c>
      <c r="I466" s="24">
        <f>MIN(E466-H466,SUMPRODUCT((YEAR(Hipoteca!$H$4:$H$15)=YEAR(C466))*(MONTH(Hipoteca!$H$4:$H$15)=MONTH(C466))*(Hipoteca!$H$4:$H$15&lt;&gt;"")*Hipoteca!$I$4:$I$15))</f>
        <v>0</v>
      </c>
      <c r="J466" s="24">
        <f>MAX(0,E466-H466-I466)</f>
        <v>0</v>
      </c>
      <c r="K466" s="21">
        <f>IF(E466&lt;=0.005,0,IF(Hipoteca!$C$8="Reducir cuota",$K$6-(B466-1),IFERROR(MAX(1,ROUNDUP(NPER(D465/12,-F465,E466),0)),$K$6-(B466-1))))</f>
        <v>0</v>
      </c>
      <c r="L466" s="21">
        <f>YEAR(C466)</f>
        <v>2065</v>
      </c>
      <c r="N466" s="25">
        <f>R465</f>
        <v>3.171862772433087e-11</v>
      </c>
      <c r="O466" s="25">
        <f>IF(N466&lt;=0.005,0,IF(D466&lt;&gt;D465,PMT(D466/12,Hipoteca!$C$5*12-(B466-1),-N466),O465))</f>
        <v>0</v>
      </c>
      <c r="P466" s="25">
        <f>N466*D466/12</f>
        <v>7.665335033379962e-14</v>
      </c>
      <c r="Q466" s="25">
        <f>IF(N466&lt;=0.005,0,MIN(N466,O466-P466))</f>
        <v>0</v>
      </c>
      <c r="R466" s="25">
        <f>MAX(0,N466-Q466)</f>
        <v>3.171862772433087e-11</v>
      </c>
    </row>
    <row r="467" spans="2:18" ht="18" customHeight="1">
      <c r="B467" s="21">
        <f>ROW()-5</f>
        <v>462</v>
      </c>
      <c r="C467" s="22">
        <f>EDATE(Hipoteca!$C$7,B467-1)</f>
        <v>60358.0</v>
      </c>
      <c r="D467" s="23">
        <f>IFERROR(LOOKUP(2,1/((Hipoteca!$E$4:$E$9&lt;&gt;"")*(Hipoteca!$E$4:$E$9&lt;=C467)),Hipoteca!$F$4:$F$9),Hipoteca!$C$6)</f>
        <v>0.029</v>
      </c>
      <c r="E467" s="24">
        <f>J466</f>
        <v>0</v>
      </c>
      <c r="F467" s="24">
        <f>IF(E467&lt;=0.005,0,MIN(E467*(1+D467/12),IF(OR(Hipoteca!$C$8="Reducir cuota",D467&lt;&gt;D466),PMT(D467/12,K467,-E467),F466)))</f>
        <v>0</v>
      </c>
      <c r="G467" s="24">
        <f>E467*D467/12</f>
        <v>0</v>
      </c>
      <c r="H467" s="24">
        <f>IF(E467&lt;=0.005,0,MIN(E467,F467-G467))</f>
        <v>0</v>
      </c>
      <c r="I467" s="24">
        <f>MIN(E467-H467,SUMPRODUCT((YEAR(Hipoteca!$H$4:$H$15)=YEAR(C467))*(MONTH(Hipoteca!$H$4:$H$15)=MONTH(C467))*(Hipoteca!$H$4:$H$15&lt;&gt;"")*Hipoteca!$I$4:$I$15))</f>
        <v>0</v>
      </c>
      <c r="J467" s="24">
        <f>MAX(0,E467-H467-I467)</f>
        <v>0</v>
      </c>
      <c r="K467" s="21">
        <f>IF(E467&lt;=0.005,0,IF(Hipoteca!$C$8="Reducir cuota",$K$6-(B467-1),IFERROR(MAX(1,ROUNDUP(NPER(D466/12,-F466,E467),0)),$K$6-(B467-1))))</f>
        <v>0</v>
      </c>
      <c r="L467" s="21">
        <f>YEAR(C467)</f>
        <v>2065</v>
      </c>
      <c r="N467" s="25">
        <f>R466</f>
        <v>3.171862772433087e-11</v>
      </c>
      <c r="O467" s="25">
        <f>IF(N467&lt;=0.005,0,IF(D467&lt;&gt;D466,PMT(D467/12,Hipoteca!$C$5*12-(B467-1),-N467),O466))</f>
        <v>0</v>
      </c>
      <c r="P467" s="25">
        <f>N467*D467/12</f>
        <v>7.665335033379962e-14</v>
      </c>
      <c r="Q467" s="25">
        <f>IF(N467&lt;=0.005,0,MIN(N467,O467-P467))</f>
        <v>0</v>
      </c>
      <c r="R467" s="25">
        <f>MAX(0,N467-Q467)</f>
        <v>3.171862772433087e-11</v>
      </c>
    </row>
    <row r="468" spans="2:18" ht="18" customHeight="1">
      <c r="B468" s="21">
        <f>ROW()-5</f>
        <v>463</v>
      </c>
      <c r="C468" s="22">
        <f>EDATE(Hipoteca!$C$7,B468-1)</f>
        <v>60388.0</v>
      </c>
      <c r="D468" s="23">
        <f>IFERROR(LOOKUP(2,1/((Hipoteca!$E$4:$E$9&lt;&gt;"")*(Hipoteca!$E$4:$E$9&lt;=C468)),Hipoteca!$F$4:$F$9),Hipoteca!$C$6)</f>
        <v>0.029</v>
      </c>
      <c r="E468" s="24">
        <f>J467</f>
        <v>0</v>
      </c>
      <c r="F468" s="24">
        <f>IF(E468&lt;=0.005,0,MIN(E468*(1+D468/12),IF(OR(Hipoteca!$C$8="Reducir cuota",D468&lt;&gt;D467),PMT(D468/12,K468,-E468),F467)))</f>
        <v>0</v>
      </c>
      <c r="G468" s="24">
        <f>E468*D468/12</f>
        <v>0</v>
      </c>
      <c r="H468" s="24">
        <f>IF(E468&lt;=0.005,0,MIN(E468,F468-G468))</f>
        <v>0</v>
      </c>
      <c r="I468" s="24">
        <f>MIN(E468-H468,SUMPRODUCT((YEAR(Hipoteca!$H$4:$H$15)=YEAR(C468))*(MONTH(Hipoteca!$H$4:$H$15)=MONTH(C468))*(Hipoteca!$H$4:$H$15&lt;&gt;"")*Hipoteca!$I$4:$I$15))</f>
        <v>0</v>
      </c>
      <c r="J468" s="24">
        <f>MAX(0,E468-H468-I468)</f>
        <v>0</v>
      </c>
      <c r="K468" s="21">
        <f>IF(E468&lt;=0.005,0,IF(Hipoteca!$C$8="Reducir cuota",$K$6-(B468-1),IFERROR(MAX(1,ROUNDUP(NPER(D467/12,-F467,E468),0)),$K$6-(B468-1))))</f>
        <v>0</v>
      </c>
      <c r="L468" s="21">
        <f>YEAR(C468)</f>
        <v>2065</v>
      </c>
      <c r="N468" s="25">
        <f>R467</f>
        <v>3.171862772433087e-11</v>
      </c>
      <c r="O468" s="25">
        <f>IF(N468&lt;=0.005,0,IF(D468&lt;&gt;D467,PMT(D468/12,Hipoteca!$C$5*12-(B468-1),-N468),O467))</f>
        <v>0</v>
      </c>
      <c r="P468" s="25">
        <f>N468*D468/12</f>
        <v>7.665335033379962e-14</v>
      </c>
      <c r="Q468" s="25">
        <f>IF(N468&lt;=0.005,0,MIN(N468,O468-P468))</f>
        <v>0</v>
      </c>
      <c r="R468" s="25">
        <f>MAX(0,N468-Q468)</f>
        <v>3.171862772433087e-11</v>
      </c>
    </row>
    <row r="469" spans="2:18" ht="18" customHeight="1">
      <c r="B469" s="21">
        <f>ROW()-5</f>
        <v>464</v>
      </c>
      <c r="C469" s="22">
        <f>EDATE(Hipoteca!$C$7,B469-1)</f>
        <v>60419.0</v>
      </c>
      <c r="D469" s="23">
        <f>IFERROR(LOOKUP(2,1/((Hipoteca!$E$4:$E$9&lt;&gt;"")*(Hipoteca!$E$4:$E$9&lt;=C469)),Hipoteca!$F$4:$F$9),Hipoteca!$C$6)</f>
        <v>0.029</v>
      </c>
      <c r="E469" s="24">
        <f>J468</f>
        <v>0</v>
      </c>
      <c r="F469" s="24">
        <f>IF(E469&lt;=0.005,0,MIN(E469*(1+D469/12),IF(OR(Hipoteca!$C$8="Reducir cuota",D469&lt;&gt;D468),PMT(D469/12,K469,-E469),F468)))</f>
        <v>0</v>
      </c>
      <c r="G469" s="24">
        <f>E469*D469/12</f>
        <v>0</v>
      </c>
      <c r="H469" s="24">
        <f>IF(E469&lt;=0.005,0,MIN(E469,F469-G469))</f>
        <v>0</v>
      </c>
      <c r="I469" s="24">
        <f>MIN(E469-H469,SUMPRODUCT((YEAR(Hipoteca!$H$4:$H$15)=YEAR(C469))*(MONTH(Hipoteca!$H$4:$H$15)=MONTH(C469))*(Hipoteca!$H$4:$H$15&lt;&gt;"")*Hipoteca!$I$4:$I$15))</f>
        <v>0</v>
      </c>
      <c r="J469" s="24">
        <f>MAX(0,E469-H469-I469)</f>
        <v>0</v>
      </c>
      <c r="K469" s="21">
        <f>IF(E469&lt;=0.005,0,IF(Hipoteca!$C$8="Reducir cuota",$K$6-(B469-1),IFERROR(MAX(1,ROUNDUP(NPER(D468/12,-F468,E469),0)),$K$6-(B469-1))))</f>
        <v>0</v>
      </c>
      <c r="L469" s="21">
        <f>YEAR(C469)</f>
        <v>2065</v>
      </c>
      <c r="N469" s="25">
        <f>R468</f>
        <v>3.171862772433087e-11</v>
      </c>
      <c r="O469" s="25">
        <f>IF(N469&lt;=0.005,0,IF(D469&lt;&gt;D468,PMT(D469/12,Hipoteca!$C$5*12-(B469-1),-N469),O468))</f>
        <v>0</v>
      </c>
      <c r="P469" s="25">
        <f>N469*D469/12</f>
        <v>7.665335033379962e-14</v>
      </c>
      <c r="Q469" s="25">
        <f>IF(N469&lt;=0.005,0,MIN(N469,O469-P469))</f>
        <v>0</v>
      </c>
      <c r="R469" s="25">
        <f>MAX(0,N469-Q469)</f>
        <v>3.171862772433087e-11</v>
      </c>
    </row>
    <row r="470" spans="2:18" ht="18" customHeight="1">
      <c r="B470" s="21">
        <f>ROW()-5</f>
        <v>465</v>
      </c>
      <c r="C470" s="22">
        <f>EDATE(Hipoteca!$C$7,B470-1)</f>
        <v>60449.0</v>
      </c>
      <c r="D470" s="23">
        <f>IFERROR(LOOKUP(2,1/((Hipoteca!$E$4:$E$9&lt;&gt;"")*(Hipoteca!$E$4:$E$9&lt;=C470)),Hipoteca!$F$4:$F$9),Hipoteca!$C$6)</f>
        <v>0.029</v>
      </c>
      <c r="E470" s="24">
        <f>J469</f>
        <v>0</v>
      </c>
      <c r="F470" s="24">
        <f>IF(E470&lt;=0.005,0,MIN(E470*(1+D470/12),IF(OR(Hipoteca!$C$8="Reducir cuota",D470&lt;&gt;D469),PMT(D470/12,K470,-E470),F469)))</f>
        <v>0</v>
      </c>
      <c r="G470" s="24">
        <f>E470*D470/12</f>
        <v>0</v>
      </c>
      <c r="H470" s="24">
        <f>IF(E470&lt;=0.005,0,MIN(E470,F470-G470))</f>
        <v>0</v>
      </c>
      <c r="I470" s="24">
        <f>MIN(E470-H470,SUMPRODUCT((YEAR(Hipoteca!$H$4:$H$15)=YEAR(C470))*(MONTH(Hipoteca!$H$4:$H$15)=MONTH(C470))*(Hipoteca!$H$4:$H$15&lt;&gt;"")*Hipoteca!$I$4:$I$15))</f>
        <v>0</v>
      </c>
      <c r="J470" s="24">
        <f>MAX(0,E470-H470-I470)</f>
        <v>0</v>
      </c>
      <c r="K470" s="21">
        <f>IF(E470&lt;=0.005,0,IF(Hipoteca!$C$8="Reducir cuota",$K$6-(B470-1),IFERROR(MAX(1,ROUNDUP(NPER(D469/12,-F469,E470),0)),$K$6-(B470-1))))</f>
        <v>0</v>
      </c>
      <c r="L470" s="21">
        <f>YEAR(C470)</f>
        <v>2065</v>
      </c>
      <c r="N470" s="25">
        <f>R469</f>
        <v>3.171862772433087e-11</v>
      </c>
      <c r="O470" s="25">
        <f>IF(N470&lt;=0.005,0,IF(D470&lt;&gt;D469,PMT(D470/12,Hipoteca!$C$5*12-(B470-1),-N470),O469))</f>
        <v>0</v>
      </c>
      <c r="P470" s="25">
        <f>N470*D470/12</f>
        <v>7.665335033379962e-14</v>
      </c>
      <c r="Q470" s="25">
        <f>IF(N470&lt;=0.005,0,MIN(N470,O470-P470))</f>
        <v>0</v>
      </c>
      <c r="R470" s="25">
        <f>MAX(0,N470-Q470)</f>
        <v>3.171862772433087e-11</v>
      </c>
    </row>
    <row r="471" spans="2:18" ht="18" customHeight="1">
      <c r="B471" s="21">
        <f>ROW()-5</f>
        <v>466</v>
      </c>
      <c r="C471" s="22">
        <f>EDATE(Hipoteca!$C$7,B471-1)</f>
        <v>60480.0</v>
      </c>
      <c r="D471" s="23">
        <f>IFERROR(LOOKUP(2,1/((Hipoteca!$E$4:$E$9&lt;&gt;"")*(Hipoteca!$E$4:$E$9&lt;=C471)),Hipoteca!$F$4:$F$9),Hipoteca!$C$6)</f>
        <v>0.029</v>
      </c>
      <c r="E471" s="24">
        <f>J470</f>
        <v>0</v>
      </c>
      <c r="F471" s="24">
        <f>IF(E471&lt;=0.005,0,MIN(E471*(1+D471/12),IF(OR(Hipoteca!$C$8="Reducir cuota",D471&lt;&gt;D470),PMT(D471/12,K471,-E471),F470)))</f>
        <v>0</v>
      </c>
      <c r="G471" s="24">
        <f>E471*D471/12</f>
        <v>0</v>
      </c>
      <c r="H471" s="24">
        <f>IF(E471&lt;=0.005,0,MIN(E471,F471-G471))</f>
        <v>0</v>
      </c>
      <c r="I471" s="24">
        <f>MIN(E471-H471,SUMPRODUCT((YEAR(Hipoteca!$H$4:$H$15)=YEAR(C471))*(MONTH(Hipoteca!$H$4:$H$15)=MONTH(C471))*(Hipoteca!$H$4:$H$15&lt;&gt;"")*Hipoteca!$I$4:$I$15))</f>
        <v>0</v>
      </c>
      <c r="J471" s="24">
        <f>MAX(0,E471-H471-I471)</f>
        <v>0</v>
      </c>
      <c r="K471" s="21">
        <f>IF(E471&lt;=0.005,0,IF(Hipoteca!$C$8="Reducir cuota",$K$6-(B471-1),IFERROR(MAX(1,ROUNDUP(NPER(D470/12,-F470,E471),0)),$K$6-(B471-1))))</f>
        <v>0</v>
      </c>
      <c r="L471" s="21">
        <f>YEAR(C471)</f>
        <v>2065</v>
      </c>
      <c r="N471" s="25">
        <f>R470</f>
        <v>3.171862772433087e-11</v>
      </c>
      <c r="O471" s="25">
        <f>IF(N471&lt;=0.005,0,IF(D471&lt;&gt;D470,PMT(D471/12,Hipoteca!$C$5*12-(B471-1),-N471),O470))</f>
        <v>0</v>
      </c>
      <c r="P471" s="25">
        <f>N471*D471/12</f>
        <v>7.665335033379962e-14</v>
      </c>
      <c r="Q471" s="25">
        <f>IF(N471&lt;=0.005,0,MIN(N471,O471-P471))</f>
        <v>0</v>
      </c>
      <c r="R471" s="25">
        <f>MAX(0,N471-Q471)</f>
        <v>3.171862772433087e-11</v>
      </c>
    </row>
    <row r="472" spans="2:18" ht="18" customHeight="1">
      <c r="B472" s="21">
        <f>ROW()-5</f>
        <v>467</v>
      </c>
      <c r="C472" s="22">
        <f>EDATE(Hipoteca!$C$7,B472-1)</f>
        <v>60511.0</v>
      </c>
      <c r="D472" s="23">
        <f>IFERROR(LOOKUP(2,1/((Hipoteca!$E$4:$E$9&lt;&gt;"")*(Hipoteca!$E$4:$E$9&lt;=C472)),Hipoteca!$F$4:$F$9),Hipoteca!$C$6)</f>
        <v>0.029</v>
      </c>
      <c r="E472" s="24">
        <f>J471</f>
        <v>0</v>
      </c>
      <c r="F472" s="24">
        <f>IF(E472&lt;=0.005,0,MIN(E472*(1+D472/12),IF(OR(Hipoteca!$C$8="Reducir cuota",D472&lt;&gt;D471),PMT(D472/12,K472,-E472),F471)))</f>
        <v>0</v>
      </c>
      <c r="G472" s="24">
        <f>E472*D472/12</f>
        <v>0</v>
      </c>
      <c r="H472" s="24">
        <f>IF(E472&lt;=0.005,0,MIN(E472,F472-G472))</f>
        <v>0</v>
      </c>
      <c r="I472" s="24">
        <f>MIN(E472-H472,SUMPRODUCT((YEAR(Hipoteca!$H$4:$H$15)=YEAR(C472))*(MONTH(Hipoteca!$H$4:$H$15)=MONTH(C472))*(Hipoteca!$H$4:$H$15&lt;&gt;"")*Hipoteca!$I$4:$I$15))</f>
        <v>0</v>
      </c>
      <c r="J472" s="24">
        <f>MAX(0,E472-H472-I472)</f>
        <v>0</v>
      </c>
      <c r="K472" s="21">
        <f>IF(E472&lt;=0.005,0,IF(Hipoteca!$C$8="Reducir cuota",$K$6-(B472-1),IFERROR(MAX(1,ROUNDUP(NPER(D471/12,-F471,E472),0)),$K$6-(B472-1))))</f>
        <v>0</v>
      </c>
      <c r="L472" s="21">
        <f>YEAR(C472)</f>
        <v>2065</v>
      </c>
      <c r="N472" s="25">
        <f>R471</f>
        <v>3.171862772433087e-11</v>
      </c>
      <c r="O472" s="25">
        <f>IF(N472&lt;=0.005,0,IF(D472&lt;&gt;D471,PMT(D472/12,Hipoteca!$C$5*12-(B472-1),-N472),O471))</f>
        <v>0</v>
      </c>
      <c r="P472" s="25">
        <f>N472*D472/12</f>
        <v>7.665335033379962e-14</v>
      </c>
      <c r="Q472" s="25">
        <f>IF(N472&lt;=0.005,0,MIN(N472,O472-P472))</f>
        <v>0</v>
      </c>
      <c r="R472" s="25">
        <f>MAX(0,N472-Q472)</f>
        <v>3.171862772433087e-11</v>
      </c>
    </row>
    <row r="473" spans="2:18" ht="18" customHeight="1">
      <c r="B473" s="21">
        <f>ROW()-5</f>
        <v>468</v>
      </c>
      <c r="C473" s="22">
        <f>EDATE(Hipoteca!$C$7,B473-1)</f>
        <v>60541.0</v>
      </c>
      <c r="D473" s="23">
        <f>IFERROR(LOOKUP(2,1/((Hipoteca!$E$4:$E$9&lt;&gt;"")*(Hipoteca!$E$4:$E$9&lt;=C473)),Hipoteca!$F$4:$F$9),Hipoteca!$C$6)</f>
        <v>0.029</v>
      </c>
      <c r="E473" s="24">
        <f>J472</f>
        <v>0</v>
      </c>
      <c r="F473" s="24">
        <f>IF(E473&lt;=0.005,0,MIN(E473*(1+D473/12),IF(OR(Hipoteca!$C$8="Reducir cuota",D473&lt;&gt;D472),PMT(D473/12,K473,-E473),F472)))</f>
        <v>0</v>
      </c>
      <c r="G473" s="24">
        <f>E473*D473/12</f>
        <v>0</v>
      </c>
      <c r="H473" s="24">
        <f>IF(E473&lt;=0.005,0,MIN(E473,F473-G473))</f>
        <v>0</v>
      </c>
      <c r="I473" s="24">
        <f>MIN(E473-H473,SUMPRODUCT((YEAR(Hipoteca!$H$4:$H$15)=YEAR(C473))*(MONTH(Hipoteca!$H$4:$H$15)=MONTH(C473))*(Hipoteca!$H$4:$H$15&lt;&gt;"")*Hipoteca!$I$4:$I$15))</f>
        <v>0</v>
      </c>
      <c r="J473" s="24">
        <f>MAX(0,E473-H473-I473)</f>
        <v>0</v>
      </c>
      <c r="K473" s="21">
        <f>IF(E473&lt;=0.005,0,IF(Hipoteca!$C$8="Reducir cuota",$K$6-(B473-1),IFERROR(MAX(1,ROUNDUP(NPER(D472/12,-F472,E473),0)),$K$6-(B473-1))))</f>
        <v>0</v>
      </c>
      <c r="L473" s="21">
        <f>YEAR(C473)</f>
        <v>2065</v>
      </c>
      <c r="N473" s="25">
        <f>R472</f>
        <v>3.171862772433087e-11</v>
      </c>
      <c r="O473" s="25">
        <f>IF(N473&lt;=0.005,0,IF(D473&lt;&gt;D472,PMT(D473/12,Hipoteca!$C$5*12-(B473-1),-N473),O472))</f>
        <v>0</v>
      </c>
      <c r="P473" s="25">
        <f>N473*D473/12</f>
        <v>7.665335033379962e-14</v>
      </c>
      <c r="Q473" s="25">
        <f>IF(N473&lt;=0.005,0,MIN(N473,O473-P473))</f>
        <v>0</v>
      </c>
      <c r="R473" s="25">
        <f>MAX(0,N473-Q473)</f>
        <v>3.171862772433087e-11</v>
      </c>
    </row>
    <row r="474" spans="2:18" ht="18" customHeight="1">
      <c r="B474" s="21">
        <f>ROW()-5</f>
        <v>469</v>
      </c>
      <c r="C474" s="22">
        <f>EDATE(Hipoteca!$C$7,B474-1)</f>
        <v>60572.0</v>
      </c>
      <c r="D474" s="23">
        <f>IFERROR(LOOKUP(2,1/((Hipoteca!$E$4:$E$9&lt;&gt;"")*(Hipoteca!$E$4:$E$9&lt;=C474)),Hipoteca!$F$4:$F$9),Hipoteca!$C$6)</f>
        <v>0.029</v>
      </c>
      <c r="E474" s="24">
        <f>J473</f>
        <v>0</v>
      </c>
      <c r="F474" s="24">
        <f>IF(E474&lt;=0.005,0,MIN(E474*(1+D474/12),IF(OR(Hipoteca!$C$8="Reducir cuota",D474&lt;&gt;D473),PMT(D474/12,K474,-E474),F473)))</f>
        <v>0</v>
      </c>
      <c r="G474" s="24">
        <f>E474*D474/12</f>
        <v>0</v>
      </c>
      <c r="H474" s="24">
        <f>IF(E474&lt;=0.005,0,MIN(E474,F474-G474))</f>
        <v>0</v>
      </c>
      <c r="I474" s="24">
        <f>MIN(E474-H474,SUMPRODUCT((YEAR(Hipoteca!$H$4:$H$15)=YEAR(C474))*(MONTH(Hipoteca!$H$4:$H$15)=MONTH(C474))*(Hipoteca!$H$4:$H$15&lt;&gt;"")*Hipoteca!$I$4:$I$15))</f>
        <v>0</v>
      </c>
      <c r="J474" s="24">
        <f>MAX(0,E474-H474-I474)</f>
        <v>0</v>
      </c>
      <c r="K474" s="21">
        <f>IF(E474&lt;=0.005,0,IF(Hipoteca!$C$8="Reducir cuota",$K$6-(B474-1),IFERROR(MAX(1,ROUNDUP(NPER(D473/12,-F473,E474),0)),$K$6-(B474-1))))</f>
        <v>0</v>
      </c>
      <c r="L474" s="21">
        <f>YEAR(C474)</f>
        <v>2065</v>
      </c>
      <c r="N474" s="25">
        <f>R473</f>
        <v>3.171862772433087e-11</v>
      </c>
      <c r="O474" s="25">
        <f>IF(N474&lt;=0.005,0,IF(D474&lt;&gt;D473,PMT(D474/12,Hipoteca!$C$5*12-(B474-1),-N474),O473))</f>
        <v>0</v>
      </c>
      <c r="P474" s="25">
        <f>N474*D474/12</f>
        <v>7.665335033379962e-14</v>
      </c>
      <c r="Q474" s="25">
        <f>IF(N474&lt;=0.005,0,MIN(N474,O474-P474))</f>
        <v>0</v>
      </c>
      <c r="R474" s="25">
        <f>MAX(0,N474-Q474)</f>
        <v>3.171862772433087e-11</v>
      </c>
    </row>
    <row r="475" spans="2:18" ht="18" customHeight="1">
      <c r="B475" s="21">
        <f>ROW()-5</f>
        <v>470</v>
      </c>
      <c r="C475" s="22">
        <f>EDATE(Hipoteca!$C$7,B475-1)</f>
        <v>60602.0</v>
      </c>
      <c r="D475" s="23">
        <f>IFERROR(LOOKUP(2,1/((Hipoteca!$E$4:$E$9&lt;&gt;"")*(Hipoteca!$E$4:$E$9&lt;=C475)),Hipoteca!$F$4:$F$9),Hipoteca!$C$6)</f>
        <v>0.029</v>
      </c>
      <c r="E475" s="24">
        <f>J474</f>
        <v>0</v>
      </c>
      <c r="F475" s="24">
        <f>IF(E475&lt;=0.005,0,MIN(E475*(1+D475/12),IF(OR(Hipoteca!$C$8="Reducir cuota",D475&lt;&gt;D474),PMT(D475/12,K475,-E475),F474)))</f>
        <v>0</v>
      </c>
      <c r="G475" s="24">
        <f>E475*D475/12</f>
        <v>0</v>
      </c>
      <c r="H475" s="24">
        <f>IF(E475&lt;=0.005,0,MIN(E475,F475-G475))</f>
        <v>0</v>
      </c>
      <c r="I475" s="24">
        <f>MIN(E475-H475,SUMPRODUCT((YEAR(Hipoteca!$H$4:$H$15)=YEAR(C475))*(MONTH(Hipoteca!$H$4:$H$15)=MONTH(C475))*(Hipoteca!$H$4:$H$15&lt;&gt;"")*Hipoteca!$I$4:$I$15))</f>
        <v>0</v>
      </c>
      <c r="J475" s="24">
        <f>MAX(0,E475-H475-I475)</f>
        <v>0</v>
      </c>
      <c r="K475" s="21">
        <f>IF(E475&lt;=0.005,0,IF(Hipoteca!$C$8="Reducir cuota",$K$6-(B475-1),IFERROR(MAX(1,ROUNDUP(NPER(D474/12,-F474,E475),0)),$K$6-(B475-1))))</f>
        <v>0</v>
      </c>
      <c r="L475" s="21">
        <f>YEAR(C475)</f>
        <v>2065</v>
      </c>
      <c r="N475" s="25">
        <f>R474</f>
        <v>3.171862772433087e-11</v>
      </c>
      <c r="O475" s="25">
        <f>IF(N475&lt;=0.005,0,IF(D475&lt;&gt;D474,PMT(D475/12,Hipoteca!$C$5*12-(B475-1),-N475),O474))</f>
        <v>0</v>
      </c>
      <c r="P475" s="25">
        <f>N475*D475/12</f>
        <v>7.665335033379962e-14</v>
      </c>
      <c r="Q475" s="25">
        <f>IF(N475&lt;=0.005,0,MIN(N475,O475-P475))</f>
        <v>0</v>
      </c>
      <c r="R475" s="25">
        <f>MAX(0,N475-Q475)</f>
        <v>3.171862772433087e-11</v>
      </c>
    </row>
    <row r="476" spans="2:18" ht="18" customHeight="1">
      <c r="B476" s="21">
        <f>ROW()-5</f>
        <v>471</v>
      </c>
      <c r="C476" s="22">
        <f>EDATE(Hipoteca!$C$7,B476-1)</f>
        <v>60633.0</v>
      </c>
      <c r="D476" s="23">
        <f>IFERROR(LOOKUP(2,1/((Hipoteca!$E$4:$E$9&lt;&gt;"")*(Hipoteca!$E$4:$E$9&lt;=C476)),Hipoteca!$F$4:$F$9),Hipoteca!$C$6)</f>
        <v>0.029</v>
      </c>
      <c r="E476" s="24">
        <f>J475</f>
        <v>0</v>
      </c>
      <c r="F476" s="24">
        <f>IF(E476&lt;=0.005,0,MIN(E476*(1+D476/12),IF(OR(Hipoteca!$C$8="Reducir cuota",D476&lt;&gt;D475),PMT(D476/12,K476,-E476),F475)))</f>
        <v>0</v>
      </c>
      <c r="G476" s="24">
        <f>E476*D476/12</f>
        <v>0</v>
      </c>
      <c r="H476" s="24">
        <f>IF(E476&lt;=0.005,0,MIN(E476,F476-G476))</f>
        <v>0</v>
      </c>
      <c r="I476" s="24">
        <f>MIN(E476-H476,SUMPRODUCT((YEAR(Hipoteca!$H$4:$H$15)=YEAR(C476))*(MONTH(Hipoteca!$H$4:$H$15)=MONTH(C476))*(Hipoteca!$H$4:$H$15&lt;&gt;"")*Hipoteca!$I$4:$I$15))</f>
        <v>0</v>
      </c>
      <c r="J476" s="24">
        <f>MAX(0,E476-H476-I476)</f>
        <v>0</v>
      </c>
      <c r="K476" s="21">
        <f>IF(E476&lt;=0.005,0,IF(Hipoteca!$C$8="Reducir cuota",$K$6-(B476-1),IFERROR(MAX(1,ROUNDUP(NPER(D475/12,-F475,E476),0)),$K$6-(B476-1))))</f>
        <v>0</v>
      </c>
      <c r="L476" s="21">
        <f>YEAR(C476)</f>
        <v>2066</v>
      </c>
      <c r="N476" s="25">
        <f>R475</f>
        <v>3.171862772433087e-11</v>
      </c>
      <c r="O476" s="25">
        <f>IF(N476&lt;=0.005,0,IF(D476&lt;&gt;D475,PMT(D476/12,Hipoteca!$C$5*12-(B476-1),-N476),O475))</f>
        <v>0</v>
      </c>
      <c r="P476" s="25">
        <f>N476*D476/12</f>
        <v>7.665335033379962e-14</v>
      </c>
      <c r="Q476" s="25">
        <f>IF(N476&lt;=0.005,0,MIN(N476,O476-P476))</f>
        <v>0</v>
      </c>
      <c r="R476" s="25">
        <f>MAX(0,N476-Q476)</f>
        <v>3.171862772433087e-11</v>
      </c>
    </row>
    <row r="477" spans="2:18" ht="18" customHeight="1">
      <c r="B477" s="21">
        <f>ROW()-5</f>
        <v>472</v>
      </c>
      <c r="C477" s="22">
        <f>EDATE(Hipoteca!$C$7,B477-1)</f>
        <v>60664.0</v>
      </c>
      <c r="D477" s="23">
        <f>IFERROR(LOOKUP(2,1/((Hipoteca!$E$4:$E$9&lt;&gt;"")*(Hipoteca!$E$4:$E$9&lt;=C477)),Hipoteca!$F$4:$F$9),Hipoteca!$C$6)</f>
        <v>0.029</v>
      </c>
      <c r="E477" s="24">
        <f>J476</f>
        <v>0</v>
      </c>
      <c r="F477" s="24">
        <f>IF(E477&lt;=0.005,0,MIN(E477*(1+D477/12),IF(OR(Hipoteca!$C$8="Reducir cuota",D477&lt;&gt;D476),PMT(D477/12,K477,-E477),F476)))</f>
        <v>0</v>
      </c>
      <c r="G477" s="24">
        <f>E477*D477/12</f>
        <v>0</v>
      </c>
      <c r="H477" s="24">
        <f>IF(E477&lt;=0.005,0,MIN(E477,F477-G477))</f>
        <v>0</v>
      </c>
      <c r="I477" s="24">
        <f>MIN(E477-H477,SUMPRODUCT((YEAR(Hipoteca!$H$4:$H$15)=YEAR(C477))*(MONTH(Hipoteca!$H$4:$H$15)=MONTH(C477))*(Hipoteca!$H$4:$H$15&lt;&gt;"")*Hipoteca!$I$4:$I$15))</f>
        <v>0</v>
      </c>
      <c r="J477" s="24">
        <f>MAX(0,E477-H477-I477)</f>
        <v>0</v>
      </c>
      <c r="K477" s="21">
        <f>IF(E477&lt;=0.005,0,IF(Hipoteca!$C$8="Reducir cuota",$K$6-(B477-1),IFERROR(MAX(1,ROUNDUP(NPER(D476/12,-F476,E477),0)),$K$6-(B477-1))))</f>
        <v>0</v>
      </c>
      <c r="L477" s="21">
        <f>YEAR(C477)</f>
        <v>2066</v>
      </c>
      <c r="N477" s="25">
        <f>R476</f>
        <v>3.171862772433087e-11</v>
      </c>
      <c r="O477" s="25">
        <f>IF(N477&lt;=0.005,0,IF(D477&lt;&gt;D476,PMT(D477/12,Hipoteca!$C$5*12-(B477-1),-N477),O476))</f>
        <v>0</v>
      </c>
      <c r="P477" s="25">
        <f>N477*D477/12</f>
        <v>7.665335033379962e-14</v>
      </c>
      <c r="Q477" s="25">
        <f>IF(N477&lt;=0.005,0,MIN(N477,O477-P477))</f>
        <v>0</v>
      </c>
      <c r="R477" s="25">
        <f>MAX(0,N477-Q477)</f>
        <v>3.171862772433087e-11</v>
      </c>
    </row>
    <row r="478" spans="2:18" ht="18" customHeight="1">
      <c r="B478" s="21">
        <f>ROW()-5</f>
        <v>473</v>
      </c>
      <c r="C478" s="22">
        <f>EDATE(Hipoteca!$C$7,B478-1)</f>
        <v>60692.0</v>
      </c>
      <c r="D478" s="23">
        <f>IFERROR(LOOKUP(2,1/((Hipoteca!$E$4:$E$9&lt;&gt;"")*(Hipoteca!$E$4:$E$9&lt;=C478)),Hipoteca!$F$4:$F$9),Hipoteca!$C$6)</f>
        <v>0.029</v>
      </c>
      <c r="E478" s="24">
        <f>J477</f>
        <v>0</v>
      </c>
      <c r="F478" s="24">
        <f>IF(E478&lt;=0.005,0,MIN(E478*(1+D478/12),IF(OR(Hipoteca!$C$8="Reducir cuota",D478&lt;&gt;D477),PMT(D478/12,K478,-E478),F477)))</f>
        <v>0</v>
      </c>
      <c r="G478" s="24">
        <f>E478*D478/12</f>
        <v>0</v>
      </c>
      <c r="H478" s="24">
        <f>IF(E478&lt;=0.005,0,MIN(E478,F478-G478))</f>
        <v>0</v>
      </c>
      <c r="I478" s="24">
        <f>MIN(E478-H478,SUMPRODUCT((YEAR(Hipoteca!$H$4:$H$15)=YEAR(C478))*(MONTH(Hipoteca!$H$4:$H$15)=MONTH(C478))*(Hipoteca!$H$4:$H$15&lt;&gt;"")*Hipoteca!$I$4:$I$15))</f>
        <v>0</v>
      </c>
      <c r="J478" s="24">
        <f>MAX(0,E478-H478-I478)</f>
        <v>0</v>
      </c>
      <c r="K478" s="21">
        <f>IF(E478&lt;=0.005,0,IF(Hipoteca!$C$8="Reducir cuota",$K$6-(B478-1),IFERROR(MAX(1,ROUNDUP(NPER(D477/12,-F477,E478),0)),$K$6-(B478-1))))</f>
        <v>0</v>
      </c>
      <c r="L478" s="21">
        <f>YEAR(C478)</f>
        <v>2066</v>
      </c>
      <c r="N478" s="25">
        <f>R477</f>
        <v>3.171862772433087e-11</v>
      </c>
      <c r="O478" s="25">
        <f>IF(N478&lt;=0.005,0,IF(D478&lt;&gt;D477,PMT(D478/12,Hipoteca!$C$5*12-(B478-1),-N478),O477))</f>
        <v>0</v>
      </c>
      <c r="P478" s="25">
        <f>N478*D478/12</f>
        <v>7.665335033379962e-14</v>
      </c>
      <c r="Q478" s="25">
        <f>IF(N478&lt;=0.005,0,MIN(N478,O478-P478))</f>
        <v>0</v>
      </c>
      <c r="R478" s="25">
        <f>MAX(0,N478-Q478)</f>
        <v>3.171862772433087e-11</v>
      </c>
    </row>
    <row r="479" spans="2:18" ht="18" customHeight="1">
      <c r="B479" s="21">
        <f>ROW()-5</f>
        <v>474</v>
      </c>
      <c r="C479" s="22">
        <f>EDATE(Hipoteca!$C$7,B479-1)</f>
        <v>60723.0</v>
      </c>
      <c r="D479" s="23">
        <f>IFERROR(LOOKUP(2,1/((Hipoteca!$E$4:$E$9&lt;&gt;"")*(Hipoteca!$E$4:$E$9&lt;=C479)),Hipoteca!$F$4:$F$9),Hipoteca!$C$6)</f>
        <v>0.029</v>
      </c>
      <c r="E479" s="24">
        <f>J478</f>
        <v>0</v>
      </c>
      <c r="F479" s="24">
        <f>IF(E479&lt;=0.005,0,MIN(E479*(1+D479/12),IF(OR(Hipoteca!$C$8="Reducir cuota",D479&lt;&gt;D478),PMT(D479/12,K479,-E479),F478)))</f>
        <v>0</v>
      </c>
      <c r="G479" s="24">
        <f>E479*D479/12</f>
        <v>0</v>
      </c>
      <c r="H479" s="24">
        <f>IF(E479&lt;=0.005,0,MIN(E479,F479-G479))</f>
        <v>0</v>
      </c>
      <c r="I479" s="24">
        <f>MIN(E479-H479,SUMPRODUCT((YEAR(Hipoteca!$H$4:$H$15)=YEAR(C479))*(MONTH(Hipoteca!$H$4:$H$15)=MONTH(C479))*(Hipoteca!$H$4:$H$15&lt;&gt;"")*Hipoteca!$I$4:$I$15))</f>
        <v>0</v>
      </c>
      <c r="J479" s="24">
        <f>MAX(0,E479-H479-I479)</f>
        <v>0</v>
      </c>
      <c r="K479" s="21">
        <f>IF(E479&lt;=0.005,0,IF(Hipoteca!$C$8="Reducir cuota",$K$6-(B479-1),IFERROR(MAX(1,ROUNDUP(NPER(D478/12,-F478,E479),0)),$K$6-(B479-1))))</f>
        <v>0</v>
      </c>
      <c r="L479" s="21">
        <f>YEAR(C479)</f>
        <v>2066</v>
      </c>
      <c r="N479" s="25">
        <f>R478</f>
        <v>3.171862772433087e-11</v>
      </c>
      <c r="O479" s="25">
        <f>IF(N479&lt;=0.005,0,IF(D479&lt;&gt;D478,PMT(D479/12,Hipoteca!$C$5*12-(B479-1),-N479),O478))</f>
        <v>0</v>
      </c>
      <c r="P479" s="25">
        <f>N479*D479/12</f>
        <v>7.665335033379962e-14</v>
      </c>
      <c r="Q479" s="25">
        <f>IF(N479&lt;=0.005,0,MIN(N479,O479-P479))</f>
        <v>0</v>
      </c>
      <c r="R479" s="25">
        <f>MAX(0,N479-Q479)</f>
        <v>3.171862772433087e-11</v>
      </c>
    </row>
    <row r="480" spans="2:18" ht="18" customHeight="1">
      <c r="B480" s="21">
        <f>ROW()-5</f>
        <v>475</v>
      </c>
      <c r="C480" s="22">
        <f>EDATE(Hipoteca!$C$7,B480-1)</f>
        <v>60753.0</v>
      </c>
      <c r="D480" s="23">
        <f>IFERROR(LOOKUP(2,1/((Hipoteca!$E$4:$E$9&lt;&gt;"")*(Hipoteca!$E$4:$E$9&lt;=C480)),Hipoteca!$F$4:$F$9),Hipoteca!$C$6)</f>
        <v>0.029</v>
      </c>
      <c r="E480" s="24">
        <f>J479</f>
        <v>0</v>
      </c>
      <c r="F480" s="24">
        <f>IF(E480&lt;=0.005,0,MIN(E480*(1+D480/12),IF(OR(Hipoteca!$C$8="Reducir cuota",D480&lt;&gt;D479),PMT(D480/12,K480,-E480),F479)))</f>
        <v>0</v>
      </c>
      <c r="G480" s="24">
        <f>E480*D480/12</f>
        <v>0</v>
      </c>
      <c r="H480" s="24">
        <f>IF(E480&lt;=0.005,0,MIN(E480,F480-G480))</f>
        <v>0</v>
      </c>
      <c r="I480" s="24">
        <f>MIN(E480-H480,SUMPRODUCT((YEAR(Hipoteca!$H$4:$H$15)=YEAR(C480))*(MONTH(Hipoteca!$H$4:$H$15)=MONTH(C480))*(Hipoteca!$H$4:$H$15&lt;&gt;"")*Hipoteca!$I$4:$I$15))</f>
        <v>0</v>
      </c>
      <c r="J480" s="24">
        <f>MAX(0,E480-H480-I480)</f>
        <v>0</v>
      </c>
      <c r="K480" s="21">
        <f>IF(E480&lt;=0.005,0,IF(Hipoteca!$C$8="Reducir cuota",$K$6-(B480-1),IFERROR(MAX(1,ROUNDUP(NPER(D479/12,-F479,E480),0)),$K$6-(B480-1))))</f>
        <v>0</v>
      </c>
      <c r="L480" s="21">
        <f>YEAR(C480)</f>
        <v>2066</v>
      </c>
      <c r="N480" s="25">
        <f>R479</f>
        <v>3.171862772433087e-11</v>
      </c>
      <c r="O480" s="25">
        <f>IF(N480&lt;=0.005,0,IF(D480&lt;&gt;D479,PMT(D480/12,Hipoteca!$C$5*12-(B480-1),-N480),O479))</f>
        <v>0</v>
      </c>
      <c r="P480" s="25">
        <f>N480*D480/12</f>
        <v>7.665335033379962e-14</v>
      </c>
      <c r="Q480" s="25">
        <f>IF(N480&lt;=0.005,0,MIN(N480,O480-P480))</f>
        <v>0</v>
      </c>
      <c r="R480" s="25">
        <f>MAX(0,N480-Q480)</f>
        <v>3.171862772433087e-11</v>
      </c>
    </row>
    <row r="481" spans="2:18" ht="18" customHeight="1">
      <c r="B481" s="21">
        <f>ROW()-5</f>
        <v>476</v>
      </c>
      <c r="C481" s="22">
        <f>EDATE(Hipoteca!$C$7,B481-1)</f>
        <v>60784.0</v>
      </c>
      <c r="D481" s="23">
        <f>IFERROR(LOOKUP(2,1/((Hipoteca!$E$4:$E$9&lt;&gt;"")*(Hipoteca!$E$4:$E$9&lt;=C481)),Hipoteca!$F$4:$F$9),Hipoteca!$C$6)</f>
        <v>0.029</v>
      </c>
      <c r="E481" s="24">
        <f>J480</f>
        <v>0</v>
      </c>
      <c r="F481" s="24">
        <f>IF(E481&lt;=0.005,0,MIN(E481*(1+D481/12),IF(OR(Hipoteca!$C$8="Reducir cuota",D481&lt;&gt;D480),PMT(D481/12,K481,-E481),F480)))</f>
        <v>0</v>
      </c>
      <c r="G481" s="24">
        <f>E481*D481/12</f>
        <v>0</v>
      </c>
      <c r="H481" s="24">
        <f>IF(E481&lt;=0.005,0,MIN(E481,F481-G481))</f>
        <v>0</v>
      </c>
      <c r="I481" s="24">
        <f>MIN(E481-H481,SUMPRODUCT((YEAR(Hipoteca!$H$4:$H$15)=YEAR(C481))*(MONTH(Hipoteca!$H$4:$H$15)=MONTH(C481))*(Hipoteca!$H$4:$H$15&lt;&gt;"")*Hipoteca!$I$4:$I$15))</f>
        <v>0</v>
      </c>
      <c r="J481" s="24">
        <f>MAX(0,E481-H481-I481)</f>
        <v>0</v>
      </c>
      <c r="K481" s="21">
        <f>IF(E481&lt;=0.005,0,IF(Hipoteca!$C$8="Reducir cuota",$K$6-(B481-1),IFERROR(MAX(1,ROUNDUP(NPER(D480/12,-F480,E481),0)),$K$6-(B481-1))))</f>
        <v>0</v>
      </c>
      <c r="L481" s="21">
        <f>YEAR(C481)</f>
        <v>2066</v>
      </c>
      <c r="N481" s="25">
        <f>R480</f>
        <v>3.171862772433087e-11</v>
      </c>
      <c r="O481" s="25">
        <f>IF(N481&lt;=0.005,0,IF(D481&lt;&gt;D480,PMT(D481/12,Hipoteca!$C$5*12-(B481-1),-N481),O480))</f>
        <v>0</v>
      </c>
      <c r="P481" s="25">
        <f>N481*D481/12</f>
        <v>7.665335033379962e-14</v>
      </c>
      <c r="Q481" s="25">
        <f>IF(N481&lt;=0.005,0,MIN(N481,O481-P481))</f>
        <v>0</v>
      </c>
      <c r="R481" s="25">
        <f>MAX(0,N481-Q481)</f>
        <v>3.171862772433087e-11</v>
      </c>
    </row>
    <row r="482" spans="2:18" ht="18" customHeight="1">
      <c r="B482" s="21">
        <f>ROW()-5</f>
        <v>477</v>
      </c>
      <c r="C482" s="22">
        <f>EDATE(Hipoteca!$C$7,B482-1)</f>
        <v>60814.0</v>
      </c>
      <c r="D482" s="23">
        <f>IFERROR(LOOKUP(2,1/((Hipoteca!$E$4:$E$9&lt;&gt;"")*(Hipoteca!$E$4:$E$9&lt;=C482)),Hipoteca!$F$4:$F$9),Hipoteca!$C$6)</f>
        <v>0.029</v>
      </c>
      <c r="E482" s="24">
        <f>J481</f>
        <v>0</v>
      </c>
      <c r="F482" s="24">
        <f>IF(E482&lt;=0.005,0,MIN(E482*(1+D482/12),IF(OR(Hipoteca!$C$8="Reducir cuota",D482&lt;&gt;D481),PMT(D482/12,K482,-E482),F481)))</f>
        <v>0</v>
      </c>
      <c r="G482" s="24">
        <f>E482*D482/12</f>
        <v>0</v>
      </c>
      <c r="H482" s="24">
        <f>IF(E482&lt;=0.005,0,MIN(E482,F482-G482))</f>
        <v>0</v>
      </c>
      <c r="I482" s="24">
        <f>MIN(E482-H482,SUMPRODUCT((YEAR(Hipoteca!$H$4:$H$15)=YEAR(C482))*(MONTH(Hipoteca!$H$4:$H$15)=MONTH(C482))*(Hipoteca!$H$4:$H$15&lt;&gt;"")*Hipoteca!$I$4:$I$15))</f>
        <v>0</v>
      </c>
      <c r="J482" s="24">
        <f>MAX(0,E482-H482-I482)</f>
        <v>0</v>
      </c>
      <c r="K482" s="21">
        <f>IF(E482&lt;=0.005,0,IF(Hipoteca!$C$8="Reducir cuota",$K$6-(B482-1),IFERROR(MAX(1,ROUNDUP(NPER(D481/12,-F481,E482),0)),$K$6-(B482-1))))</f>
        <v>0</v>
      </c>
      <c r="L482" s="21">
        <f>YEAR(C482)</f>
        <v>2066</v>
      </c>
      <c r="N482" s="25">
        <f>R481</f>
        <v>3.171862772433087e-11</v>
      </c>
      <c r="O482" s="25">
        <f>IF(N482&lt;=0.005,0,IF(D482&lt;&gt;D481,PMT(D482/12,Hipoteca!$C$5*12-(B482-1),-N482),O481))</f>
        <v>0</v>
      </c>
      <c r="P482" s="25">
        <f>N482*D482/12</f>
        <v>7.665335033379962e-14</v>
      </c>
      <c r="Q482" s="25">
        <f>IF(N482&lt;=0.005,0,MIN(N482,O482-P482))</f>
        <v>0</v>
      </c>
      <c r="R482" s="25">
        <f>MAX(0,N482-Q482)</f>
        <v>3.171862772433087e-11</v>
      </c>
    </row>
    <row r="483" spans="2:18" ht="18" customHeight="1">
      <c r="B483" s="21">
        <f>ROW()-5</f>
        <v>478</v>
      </c>
      <c r="C483" s="22">
        <f>EDATE(Hipoteca!$C$7,B483-1)</f>
        <v>60845.0</v>
      </c>
      <c r="D483" s="23">
        <f>IFERROR(LOOKUP(2,1/((Hipoteca!$E$4:$E$9&lt;&gt;"")*(Hipoteca!$E$4:$E$9&lt;=C483)),Hipoteca!$F$4:$F$9),Hipoteca!$C$6)</f>
        <v>0.029</v>
      </c>
      <c r="E483" s="24">
        <f>J482</f>
        <v>0</v>
      </c>
      <c r="F483" s="24">
        <f>IF(E483&lt;=0.005,0,MIN(E483*(1+D483/12),IF(OR(Hipoteca!$C$8="Reducir cuota",D483&lt;&gt;D482),PMT(D483/12,K483,-E483),F482)))</f>
        <v>0</v>
      </c>
      <c r="G483" s="24">
        <f>E483*D483/12</f>
        <v>0</v>
      </c>
      <c r="H483" s="24">
        <f>IF(E483&lt;=0.005,0,MIN(E483,F483-G483))</f>
        <v>0</v>
      </c>
      <c r="I483" s="24">
        <f>MIN(E483-H483,SUMPRODUCT((YEAR(Hipoteca!$H$4:$H$15)=YEAR(C483))*(MONTH(Hipoteca!$H$4:$H$15)=MONTH(C483))*(Hipoteca!$H$4:$H$15&lt;&gt;"")*Hipoteca!$I$4:$I$15))</f>
        <v>0</v>
      </c>
      <c r="J483" s="24">
        <f>MAX(0,E483-H483-I483)</f>
        <v>0</v>
      </c>
      <c r="K483" s="21">
        <f>IF(E483&lt;=0.005,0,IF(Hipoteca!$C$8="Reducir cuota",$K$6-(B483-1),IFERROR(MAX(1,ROUNDUP(NPER(D482/12,-F482,E483),0)),$K$6-(B483-1))))</f>
        <v>0</v>
      </c>
      <c r="L483" s="21">
        <f>YEAR(C483)</f>
        <v>2066</v>
      </c>
      <c r="N483" s="25">
        <f>R482</f>
        <v>3.171862772433087e-11</v>
      </c>
      <c r="O483" s="25">
        <f>IF(N483&lt;=0.005,0,IF(D483&lt;&gt;D482,PMT(D483/12,Hipoteca!$C$5*12-(B483-1),-N483),O482))</f>
        <v>0</v>
      </c>
      <c r="P483" s="25">
        <f>N483*D483/12</f>
        <v>7.665335033379962e-14</v>
      </c>
      <c r="Q483" s="25">
        <f>IF(N483&lt;=0.005,0,MIN(N483,O483-P483))</f>
        <v>0</v>
      </c>
      <c r="R483" s="25">
        <f>MAX(0,N483-Q483)</f>
        <v>3.171862772433087e-11</v>
      </c>
    </row>
    <row r="484" spans="2:18" ht="18" customHeight="1">
      <c r="B484" s="21">
        <f>ROW()-5</f>
        <v>479</v>
      </c>
      <c r="C484" s="22">
        <f>EDATE(Hipoteca!$C$7,B484-1)</f>
        <v>60876.0</v>
      </c>
      <c r="D484" s="23">
        <f>IFERROR(LOOKUP(2,1/((Hipoteca!$E$4:$E$9&lt;&gt;"")*(Hipoteca!$E$4:$E$9&lt;=C484)),Hipoteca!$F$4:$F$9),Hipoteca!$C$6)</f>
        <v>0.029</v>
      </c>
      <c r="E484" s="24">
        <f>J483</f>
        <v>0</v>
      </c>
      <c r="F484" s="24">
        <f>IF(E484&lt;=0.005,0,MIN(E484*(1+D484/12),IF(OR(Hipoteca!$C$8="Reducir cuota",D484&lt;&gt;D483),PMT(D484/12,K484,-E484),F483)))</f>
        <v>0</v>
      </c>
      <c r="G484" s="24">
        <f>E484*D484/12</f>
        <v>0</v>
      </c>
      <c r="H484" s="24">
        <f>IF(E484&lt;=0.005,0,MIN(E484,F484-G484))</f>
        <v>0</v>
      </c>
      <c r="I484" s="24">
        <f>MIN(E484-H484,SUMPRODUCT((YEAR(Hipoteca!$H$4:$H$15)=YEAR(C484))*(MONTH(Hipoteca!$H$4:$H$15)=MONTH(C484))*(Hipoteca!$H$4:$H$15&lt;&gt;"")*Hipoteca!$I$4:$I$15))</f>
        <v>0</v>
      </c>
      <c r="J484" s="24">
        <f>MAX(0,E484-H484-I484)</f>
        <v>0</v>
      </c>
      <c r="K484" s="21">
        <f>IF(E484&lt;=0.005,0,IF(Hipoteca!$C$8="Reducir cuota",$K$6-(B484-1),IFERROR(MAX(1,ROUNDUP(NPER(D483/12,-F483,E484),0)),$K$6-(B484-1))))</f>
        <v>0</v>
      </c>
      <c r="L484" s="21">
        <f>YEAR(C484)</f>
        <v>2066</v>
      </c>
      <c r="N484" s="25">
        <f>R483</f>
        <v>3.171862772433087e-11</v>
      </c>
      <c r="O484" s="25">
        <f>IF(N484&lt;=0.005,0,IF(D484&lt;&gt;D483,PMT(D484/12,Hipoteca!$C$5*12-(B484-1),-N484),O483))</f>
        <v>0</v>
      </c>
      <c r="P484" s="25">
        <f>N484*D484/12</f>
        <v>7.665335033379962e-14</v>
      </c>
      <c r="Q484" s="25">
        <f>IF(N484&lt;=0.005,0,MIN(N484,O484-P484))</f>
        <v>0</v>
      </c>
      <c r="R484" s="25">
        <f>MAX(0,N484-Q484)</f>
        <v>3.171862772433087e-11</v>
      </c>
    </row>
    <row r="485" spans="2:18" ht="18" customHeight="1">
      <c r="B485" s="21">
        <f>ROW()-5</f>
        <v>480</v>
      </c>
      <c r="C485" s="22">
        <f>EDATE(Hipoteca!$C$7,B485-1)</f>
        <v>60906.0</v>
      </c>
      <c r="D485" s="23">
        <f>IFERROR(LOOKUP(2,1/((Hipoteca!$E$4:$E$9&lt;&gt;"")*(Hipoteca!$E$4:$E$9&lt;=C485)),Hipoteca!$F$4:$F$9),Hipoteca!$C$6)</f>
        <v>0.029</v>
      </c>
      <c r="E485" s="24">
        <f>J484</f>
        <v>0</v>
      </c>
      <c r="F485" s="24">
        <f>IF(E485&lt;=0.005,0,MIN(E485*(1+D485/12),IF(OR(Hipoteca!$C$8="Reducir cuota",D485&lt;&gt;D484),PMT(D485/12,K485,-E485),F484)))</f>
        <v>0</v>
      </c>
      <c r="G485" s="24">
        <f>E485*D485/12</f>
        <v>0</v>
      </c>
      <c r="H485" s="24">
        <f>IF(E485&lt;=0.005,0,MIN(E485,F485-G485))</f>
        <v>0</v>
      </c>
      <c r="I485" s="24">
        <f>MIN(E485-H485,SUMPRODUCT((YEAR(Hipoteca!$H$4:$H$15)=YEAR(C485))*(MONTH(Hipoteca!$H$4:$H$15)=MONTH(C485))*(Hipoteca!$H$4:$H$15&lt;&gt;"")*Hipoteca!$I$4:$I$15))</f>
        <v>0</v>
      </c>
      <c r="J485" s="24">
        <f>MAX(0,E485-H485-I485)</f>
        <v>0</v>
      </c>
      <c r="K485" s="21">
        <f>IF(E485&lt;=0.005,0,IF(Hipoteca!$C$8="Reducir cuota",$K$6-(B485-1),IFERROR(MAX(1,ROUNDUP(NPER(D484/12,-F484,E485),0)),$K$6-(B485-1))))</f>
        <v>0</v>
      </c>
      <c r="L485" s="21">
        <f>YEAR(C485)</f>
        <v>2066</v>
      </c>
      <c r="N485" s="25">
        <f>R484</f>
        <v>3.171862772433087e-11</v>
      </c>
      <c r="O485" s="25">
        <f>IF(N485&lt;=0.005,0,IF(D485&lt;&gt;D484,PMT(D485/12,Hipoteca!$C$5*12-(B485-1),-N485),O484))</f>
        <v>0</v>
      </c>
      <c r="P485" s="25">
        <f>N485*D485/12</f>
        <v>7.665335033379962e-14</v>
      </c>
      <c r="Q485" s="25">
        <f>IF(N485&lt;=0.005,0,MIN(N485,O485-P485))</f>
        <v>0</v>
      </c>
      <c r="R485" s="25">
        <f>MAX(0,N485-Q485)</f>
        <v>3.171862772433087e-11</v>
      </c>
    </row>
  </sheetData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A72"/>
    <pageSetUpPr fitToPage="1"/>
  </sheetPr>
  <dimension ref="A1:F44"/>
  <sheetViews>
    <sheetView showGridLines="0" workbookViewId="0"/>
  </sheetViews>
  <sheetFormatPr defaultRowHeight="18" customHeight="1"/>
  <cols>
    <col min="1" max="1" width="2.7109375" style="1" customWidth="1"/>
    <col min="2" max="2" width="8.7109375" customWidth="1"/>
    <col min="3" max="6" width="16.7109375" customWidth="1"/>
  </cols>
  <sheetData>
    <row r="1" spans="2:6" ht="32" customHeight="1">
      <c r="B1" s="2" t="s">
        <v>49</v>
      </c>
    </row>
    <row r="2" spans="2:6" ht="18" customHeight="1">
      <c r="B2" s="3" t="s">
        <v>50</v>
      </c>
    </row>
    <row r="4" spans="2:6" ht="30" customHeight="1">
      <c r="B4" s="8" t="s">
        <v>43</v>
      </c>
      <c r="C4" s="8" t="s">
        <v>38</v>
      </c>
      <c r="D4" s="8" t="s">
        <v>51</v>
      </c>
      <c r="E4" s="8" t="s">
        <v>52</v>
      </c>
      <c r="F4" s="8" t="s">
        <v>53</v>
      </c>
    </row>
    <row r="5" spans="2:6" ht="18" customHeight="1">
      <c r="B5" s="21">
        <f>YEAR(Hipoteca!$C$7)+0</f>
        <v>2026</v>
      </c>
      <c r="C5" s="24">
        <f>SUMIFS(Cuadro!$G$6:$G$485,Cuadro!$L$6:$L$485,B5)</f>
        <v>899.2277818482175</v>
      </c>
      <c r="D5" s="24">
        <f>SUMIFS(Cuadro!$H$6:$H$485,Cuadro!$L$6:$L$485,B5)</f>
        <v>618.5467395778044</v>
      </c>
      <c r="E5" s="24">
        <f>SUMIFS(Cuadro!$I$6:$I$485,Cuadro!$L$6:$L$485,B5)</f>
        <v>0</v>
      </c>
      <c r="F5" s="24">
        <f>IFERROR(INDEX(Cuadro!$J$6:$J$485,MATCH(B5,Cuadro!$L$6:$L$485,1)),0)</f>
        <v>179381.4532604222</v>
      </c>
    </row>
    <row r="6" spans="2:6" ht="18" customHeight="1">
      <c r="B6" s="21">
        <f>YEAR(Hipoteca!$C$7)+1</f>
        <v>2027</v>
      </c>
      <c r="C6" s="24">
        <f>SUMIFS(Cuadro!$G$6:$G$485,Cuadro!$L$6:$L$485,B6)</f>
        <v>5140.260802904856</v>
      </c>
      <c r="D6" s="24">
        <f>SUMIFS(Cuadro!$H$6:$H$485,Cuadro!$L$6:$L$485,B6)</f>
        <v>3892.9929055694874</v>
      </c>
      <c r="E6" s="24">
        <f>SUMIFS(Cuadro!$I$6:$I$485,Cuadro!$L$6:$L$485,B6)</f>
        <v>5000</v>
      </c>
      <c r="F6" s="24">
        <f>IFERROR(INDEX(Cuadro!$J$6:$J$485,MATCH(B6,Cuadro!$L$6:$L$485,1)),0)</f>
        <v>170488.46035485272</v>
      </c>
    </row>
    <row r="7" spans="2:6" ht="18" customHeight="1">
      <c r="B7" s="21">
        <f>YEAR(Hipoteca!$C$7)+2</f>
        <v>2028</v>
      </c>
      <c r="C7" s="24">
        <f>SUMIFS(Cuadro!$G$6:$G$485,Cuadro!$L$6:$L$485,B7)</f>
        <v>4465.2982514804835</v>
      </c>
      <c r="D7" s="24">
        <f>SUMIFS(Cuadro!$H$6:$H$485,Cuadro!$L$6:$L$485,B7)</f>
        <v>4249.8079287498385</v>
      </c>
      <c r="E7" s="24">
        <f>SUMIFS(Cuadro!$I$6:$I$485,Cuadro!$L$6:$L$485,B7)</f>
        <v>0</v>
      </c>
      <c r="F7" s="24">
        <f>IFERROR(INDEX(Cuadro!$J$6:$J$485,MATCH(B7,Cuadro!$L$6:$L$485,1)),0)</f>
        <v>166238.6524261029</v>
      </c>
    </row>
    <row r="8" spans="2:6" ht="18" customHeight="1">
      <c r="B8" s="21">
        <f>YEAR(Hipoteca!$C$7)+3</f>
        <v>2029</v>
      </c>
      <c r="C8" s="24">
        <f>SUMIFS(Cuadro!$G$6:$G$485,Cuadro!$L$6:$L$485,B8)</f>
        <v>4496.401841468719</v>
      </c>
      <c r="D8" s="24">
        <f>SUMIFS(Cuadro!$H$6:$H$485,Cuadro!$L$6:$L$485,B8)</f>
        <v>4462.802199586204</v>
      </c>
      <c r="E8" s="24">
        <f>SUMIFS(Cuadro!$I$6:$I$485,Cuadro!$L$6:$L$485,B8)</f>
        <v>10000</v>
      </c>
      <c r="F8" s="24">
        <f>IFERROR(INDEX(Cuadro!$J$6:$J$485,MATCH(B8,Cuadro!$L$6:$L$485,1)),0)</f>
        <v>151775.85022651672</v>
      </c>
    </row>
    <row r="9" spans="2:6" ht="18" customHeight="1">
      <c r="B9" s="21">
        <f>YEAR(Hipoteca!$C$7)+4</f>
        <v>2030</v>
      </c>
      <c r="C9" s="24">
        <f>SUMIFS(Cuadro!$G$6:$G$485,Cuadro!$L$6:$L$485,B9)</f>
        <v>4340.429503901587</v>
      </c>
      <c r="D9" s="24">
        <f>SUMIFS(Cuadro!$H$6:$H$485,Cuadro!$L$6:$L$485,B9)</f>
        <v>4618.774537153337</v>
      </c>
      <c r="E9" s="24">
        <f>SUMIFS(Cuadro!$I$6:$I$485,Cuadro!$L$6:$L$485,B9)</f>
        <v>0</v>
      </c>
      <c r="F9" s="24">
        <f>IFERROR(INDEX(Cuadro!$J$6:$J$485,MATCH(B9,Cuadro!$L$6:$L$485,1)),0)</f>
        <v>147157.0756893634</v>
      </c>
    </row>
    <row r="10" spans="2:6" ht="18" customHeight="1">
      <c r="B10" s="21">
        <f>YEAR(Hipoteca!$C$7)+5</f>
        <v>2031</v>
      </c>
      <c r="C10" s="24">
        <f>SUMIFS(Cuadro!$G$6:$G$485,Cuadro!$L$6:$L$485,B10)</f>
        <v>4204.690277234651</v>
      </c>
      <c r="D10" s="24">
        <f>SUMIFS(Cuadro!$H$6:$H$485,Cuadro!$L$6:$L$485,B10)</f>
        <v>4754.5137638202705</v>
      </c>
      <c r="E10" s="24">
        <f>SUMIFS(Cuadro!$I$6:$I$485,Cuadro!$L$6:$L$485,B10)</f>
        <v>0</v>
      </c>
      <c r="F10" s="24">
        <f>IFERROR(INDEX(Cuadro!$J$6:$J$485,MATCH(B10,Cuadro!$L$6:$L$485,1)),0)</f>
        <v>142402.56192554318</v>
      </c>
    </row>
    <row r="11" spans="2:6" ht="18" customHeight="1">
      <c r="B11" s="21">
        <f>YEAR(Hipoteca!$C$7)+6</f>
        <v>2032</v>
      </c>
      <c r="C11" s="24">
        <f>SUMIFS(Cuadro!$G$6:$G$485,Cuadro!$L$6:$L$485,B11)</f>
        <v>4064.9618673963096</v>
      </c>
      <c r="D11" s="24">
        <f>SUMIFS(Cuadro!$H$6:$H$485,Cuadro!$L$6:$L$485,B11)</f>
        <v>4894.242173658612</v>
      </c>
      <c r="E11" s="24">
        <f>SUMIFS(Cuadro!$I$6:$I$485,Cuadro!$L$6:$L$485,B11)</f>
        <v>0</v>
      </c>
      <c r="F11" s="24">
        <f>IFERROR(INDEX(Cuadro!$J$6:$J$485,MATCH(B11,Cuadro!$L$6:$L$485,1)),0)</f>
        <v>137508.3197518846</v>
      </c>
    </row>
    <row r="12" spans="2:6" ht="18" customHeight="1">
      <c r="B12" s="21">
        <f>YEAR(Hipoteca!$C$7)+7</f>
        <v>2033</v>
      </c>
      <c r="C12" s="24">
        <f>SUMIFS(Cuadro!$G$6:$G$485,Cuadro!$L$6:$L$485,B12)</f>
        <v>3921.127037956341</v>
      </c>
      <c r="D12" s="24">
        <f>SUMIFS(Cuadro!$H$6:$H$485,Cuadro!$L$6:$L$485,B12)</f>
        <v>5038.077003098581</v>
      </c>
      <c r="E12" s="24">
        <f>SUMIFS(Cuadro!$I$6:$I$485,Cuadro!$L$6:$L$485,B12)</f>
        <v>0</v>
      </c>
      <c r="F12" s="24">
        <f>IFERROR(INDEX(Cuadro!$J$6:$J$485,MATCH(B12,Cuadro!$L$6:$L$485,1)),0)</f>
        <v>132470.24274878603</v>
      </c>
    </row>
    <row r="13" spans="2:6" ht="18" customHeight="1">
      <c r="B13" s="21">
        <f>YEAR(Hipoteca!$C$7)+8</f>
        <v>2034</v>
      </c>
      <c r="C13" s="24">
        <f>SUMIFS(Cuadro!$G$6:$G$485,Cuadro!$L$6:$L$485,B13)</f>
        <v>3773.065107072277</v>
      </c>
      <c r="D13" s="24">
        <f>SUMIFS(Cuadro!$H$6:$H$485,Cuadro!$L$6:$L$485,B13)</f>
        <v>5186.1389339826455</v>
      </c>
      <c r="E13" s="24">
        <f>SUMIFS(Cuadro!$I$6:$I$485,Cuadro!$L$6:$L$485,B13)</f>
        <v>0</v>
      </c>
      <c r="F13" s="24">
        <f>IFERROR(INDEX(Cuadro!$J$6:$J$485,MATCH(B13,Cuadro!$L$6:$L$485,1)),0)</f>
        <v>127284.10381480341</v>
      </c>
    </row>
    <row r="14" spans="2:6" ht="18" customHeight="1">
      <c r="B14" s="21">
        <f>YEAR(Hipoteca!$C$7)+9</f>
        <v>2035</v>
      </c>
      <c r="C14" s="24">
        <f>SUMIFS(Cuadro!$G$6:$G$485,Cuadro!$L$6:$L$485,B14)</f>
        <v>3620.6518462336217</v>
      </c>
      <c r="D14" s="24">
        <f>SUMIFS(Cuadro!$H$6:$H$485,Cuadro!$L$6:$L$485,B14)</f>
        <v>5338.552194821302</v>
      </c>
      <c r="E14" s="24">
        <f>SUMIFS(Cuadro!$I$6:$I$485,Cuadro!$L$6:$L$485,B14)</f>
        <v>0</v>
      </c>
      <c r="F14" s="24">
        <f>IFERROR(INDEX(Cuadro!$J$6:$J$485,MATCH(B14,Cuadro!$L$6:$L$485,1)),0)</f>
        <v>121945.55161998211</v>
      </c>
    </row>
    <row r="15" spans="2:6" ht="18" customHeight="1">
      <c r="B15" s="21">
        <f>YEAR(Hipoteca!$C$7)+10</f>
        <v>2036</v>
      </c>
      <c r="C15" s="24">
        <f>SUMIFS(Cuadro!$G$6:$G$485,Cuadro!$L$6:$L$485,B15)</f>
        <v>3463.7593760303166</v>
      </c>
      <c r="D15" s="24">
        <f>SUMIFS(Cuadro!$H$6:$H$485,Cuadro!$L$6:$L$485,B15)</f>
        <v>5495.444665024607</v>
      </c>
      <c r="E15" s="24">
        <f>SUMIFS(Cuadro!$I$6:$I$485,Cuadro!$L$6:$L$485,B15)</f>
        <v>0</v>
      </c>
      <c r="F15" s="24">
        <f>IFERROR(INDEX(Cuadro!$J$6:$J$485,MATCH(B15,Cuadro!$L$6:$L$485,1)),0)</f>
        <v>116450.1069549575</v>
      </c>
    </row>
    <row r="16" spans="2:6" ht="18" customHeight="1">
      <c r="B16" s="21">
        <f>YEAR(Hipoteca!$C$7)+11</f>
        <v>2037</v>
      </c>
      <c r="C16" s="24">
        <f>SUMIFS(Cuadro!$G$6:$G$485,Cuadro!$L$6:$L$485,B16)</f>
        <v>3302.2560588579813</v>
      </c>
      <c r="D16" s="24">
        <f>SUMIFS(Cuadro!$H$6:$H$485,Cuadro!$L$6:$L$485,B16)</f>
        <v>5656.947982196942</v>
      </c>
      <c r="E16" s="24">
        <f>SUMIFS(Cuadro!$I$6:$I$485,Cuadro!$L$6:$L$485,B16)</f>
        <v>0</v>
      </c>
      <c r="F16" s="24">
        <f>IFERROR(INDEX(Cuadro!$J$6:$J$485,MATCH(B16,Cuadro!$L$6:$L$485,1)),0)</f>
        <v>110793.15897276059</v>
      </c>
    </row>
    <row r="17" spans="2:6" ht="18" customHeight="1">
      <c r="B17" s="21">
        <f>YEAR(Hipoteca!$C$7)+12</f>
        <v>2038</v>
      </c>
      <c r="C17" s="24">
        <f>SUMIFS(Cuadro!$G$6:$G$485,Cuadro!$L$6:$L$485,B17)</f>
        <v>3136.006388469925</v>
      </c>
      <c r="D17" s="24">
        <f>SUMIFS(Cuadro!$H$6:$H$485,Cuadro!$L$6:$L$485,B17)</f>
        <v>5823.197652585</v>
      </c>
      <c r="E17" s="24">
        <f>SUMIFS(Cuadro!$I$6:$I$485,Cuadro!$L$6:$L$485,B17)</f>
        <v>0</v>
      </c>
      <c r="F17" s="24">
        <f>IFERROR(INDEX(Cuadro!$J$6:$J$485,MATCH(B17,Cuadro!$L$6:$L$485,1)),0)</f>
        <v>104969.9613201756</v>
      </c>
    </row>
    <row r="18" spans="2:6" ht="18" customHeight="1">
      <c r="B18" s="21">
        <f>YEAR(Hipoteca!$C$7)+13</f>
        <v>2039</v>
      </c>
      <c r="C18" s="24">
        <f>SUMIFS(Cuadro!$G$6:$G$485,Cuadro!$L$6:$L$485,B18)</f>
        <v>2964.8708762832284</v>
      </c>
      <c r="D18" s="24">
        <f>SUMIFS(Cuadro!$H$6:$H$485,Cuadro!$L$6:$L$485,B18)</f>
        <v>5994.333164771695</v>
      </c>
      <c r="E18" s="24">
        <f>SUMIFS(Cuadro!$I$6:$I$485,Cuadro!$L$6:$L$485,B18)</f>
        <v>0</v>
      </c>
      <c r="F18" s="24">
        <f>IFERROR(INDEX(Cuadro!$J$6:$J$485,MATCH(B18,Cuadro!$L$6:$L$485,1)),0)</f>
        <v>98975.62815540389</v>
      </c>
    </row>
    <row r="19" spans="2:6" ht="18" customHeight="1">
      <c r="B19" s="21">
        <f>YEAR(Hipoteca!$C$7)+14</f>
        <v>2040</v>
      </c>
      <c r="C19" s="24">
        <f>SUMIFS(Cuadro!$G$6:$G$485,Cuadro!$L$6:$L$485,B19)</f>
        <v>2788.7059343435503</v>
      </c>
      <c r="D19" s="24">
        <f>SUMIFS(Cuadro!$H$6:$H$485,Cuadro!$L$6:$L$485,B19)</f>
        <v>6170.498106711372</v>
      </c>
      <c r="E19" s="24">
        <f>SUMIFS(Cuadro!$I$6:$I$485,Cuadro!$L$6:$L$485,B19)</f>
        <v>0</v>
      </c>
      <c r="F19" s="24">
        <f>IFERROR(INDEX(Cuadro!$J$6:$J$485,MATCH(B19,Cuadro!$L$6:$L$485,1)),0)</f>
        <v>92805.13004869249</v>
      </c>
    </row>
    <row r="20" spans="2:6" ht="18" customHeight="1">
      <c r="B20" s="21">
        <f>YEAR(Hipoteca!$C$7)+15</f>
        <v>2041</v>
      </c>
      <c r="C20" s="24">
        <f>SUMIFS(Cuadro!$G$6:$G$485,Cuadro!$L$6:$L$485,B20)</f>
        <v>2607.363754850413</v>
      </c>
      <c r="D20" s="24">
        <f>SUMIFS(Cuadro!$H$6:$H$485,Cuadro!$L$6:$L$485,B20)</f>
        <v>6351.84028620451</v>
      </c>
      <c r="E20" s="24">
        <f>SUMIFS(Cuadro!$I$6:$I$485,Cuadro!$L$6:$L$485,B20)</f>
        <v>0</v>
      </c>
      <c r="F20" s="24">
        <f>IFERROR(INDEX(Cuadro!$J$6:$J$485,MATCH(B20,Cuadro!$L$6:$L$485,1)),0)</f>
        <v>86453.28976248797</v>
      </c>
    </row>
    <row r="21" spans="2:6" ht="18" customHeight="1">
      <c r="B21" s="21">
        <f>YEAR(Hipoteca!$C$7)+16</f>
        <v>2042</v>
      </c>
      <c r="C21" s="24">
        <f>SUMIFS(Cuadro!$G$6:$G$485,Cuadro!$L$6:$L$485,B21)</f>
        <v>2420.6921861419123</v>
      </c>
      <c r="D21" s="24">
        <f>SUMIFS(Cuadro!$H$6:$H$485,Cuadro!$L$6:$L$485,B21)</f>
        <v>6538.51185491301</v>
      </c>
      <c r="E21" s="24">
        <f>SUMIFS(Cuadro!$I$6:$I$485,Cuadro!$L$6:$L$485,B21)</f>
        <v>0</v>
      </c>
      <c r="F21" s="24">
        <f>IFERROR(INDEX(Cuadro!$J$6:$J$485,MATCH(B21,Cuadro!$L$6:$L$485,1)),0)</f>
        <v>79914.77790757497</v>
      </c>
    </row>
    <row r="22" spans="2:6" ht="18" customHeight="1">
      <c r="B22" s="21">
        <f>YEAR(Hipoteca!$C$7)+17</f>
        <v>2043</v>
      </c>
      <c r="C22" s="24">
        <f>SUMIFS(Cuadro!$G$6:$G$485,Cuadro!$L$6:$L$485,B22)</f>
        <v>2228.534605034806</v>
      </c>
      <c r="D22" s="24">
        <f>SUMIFS(Cuadro!$H$6:$H$485,Cuadro!$L$6:$L$485,B22)</f>
        <v>6730.669436020116</v>
      </c>
      <c r="E22" s="24">
        <f>SUMIFS(Cuadro!$I$6:$I$485,Cuadro!$L$6:$L$485,B22)</f>
        <v>0</v>
      </c>
      <c r="F22" s="24">
        <f>IFERROR(INDEX(Cuadro!$J$6:$J$485,MATCH(B22,Cuadro!$L$6:$L$485,1)),0)</f>
        <v>73184.10847155486</v>
      </c>
    </row>
    <row r="23" spans="2:6" ht="18" customHeight="1">
      <c r="B23" s="21">
        <f>YEAR(Hipoteca!$C$7)+18</f>
        <v>2044</v>
      </c>
      <c r="C23" s="24">
        <f>SUMIFS(Cuadro!$G$6:$G$485,Cuadro!$L$6:$L$485,B23)</f>
        <v>2030.7297854128387</v>
      </c>
      <c r="D23" s="24">
        <f>SUMIFS(Cuadro!$H$6:$H$485,Cuadro!$L$6:$L$485,B23)</f>
        <v>6928.474255642084</v>
      </c>
      <c r="E23" s="24">
        <f>SUMIFS(Cuadro!$I$6:$I$485,Cuadro!$L$6:$L$485,B23)</f>
        <v>0</v>
      </c>
      <c r="F23" s="24">
        <f>IFERROR(INDEX(Cuadro!$J$6:$J$485,MATCH(B23,Cuadro!$L$6:$L$485,1)),0)</f>
        <v>66255.63421591281</v>
      </c>
    </row>
    <row r="24" spans="2:6" ht="18" customHeight="1">
      <c r="B24" s="21">
        <f>YEAR(Hipoteca!$C$7)+19</f>
        <v>2045</v>
      </c>
      <c r="C24" s="24">
        <f>SUMIFS(Cuadro!$G$6:$G$485,Cuadro!$L$6:$L$485,B24)</f>
        <v>1827.111762953084</v>
      </c>
      <c r="D24" s="24">
        <f>SUMIFS(Cuadro!$H$6:$H$485,Cuadro!$L$6:$L$485,B24)</f>
        <v>7132.092278101838</v>
      </c>
      <c r="E24" s="24">
        <f>SUMIFS(Cuadro!$I$6:$I$485,Cuadro!$L$6:$L$485,B24)</f>
        <v>0</v>
      </c>
      <c r="F24" s="24">
        <f>IFERROR(INDEX(Cuadro!$J$6:$J$485,MATCH(B24,Cuadro!$L$6:$L$485,1)),0)</f>
        <v>59123.54193781096</v>
      </c>
    </row>
    <row r="25" spans="2:6" ht="18" customHeight="1">
      <c r="B25" s="21">
        <f>YEAR(Hipoteca!$C$7)+20</f>
        <v>2046</v>
      </c>
      <c r="C25" s="24">
        <f>SUMIFS(Cuadro!$G$6:$G$485,Cuadro!$L$6:$L$485,B25)</f>
        <v>1617.509695876773</v>
      </c>
      <c r="D25" s="24">
        <f>SUMIFS(Cuadro!$H$6:$H$485,Cuadro!$L$6:$L$485,B25)</f>
        <v>7341.694345178149</v>
      </c>
      <c r="E25" s="24">
        <f>SUMIFS(Cuadro!$I$6:$I$485,Cuadro!$L$6:$L$485,B25)</f>
        <v>0</v>
      </c>
      <c r="F25" s="24">
        <f>IFERROR(INDEX(Cuadro!$J$6:$J$485,MATCH(B25,Cuadro!$L$6:$L$485,1)),0)</f>
        <v>51781.847592632796</v>
      </c>
    </row>
    <row r="26" spans="2:6" ht="18" customHeight="1">
      <c r="B26" s="21">
        <f>YEAR(Hipoteca!$C$7)+21</f>
        <v>2047</v>
      </c>
      <c r="C26" s="24">
        <f>SUMIFS(Cuadro!$G$6:$G$485,Cuadro!$L$6:$L$485,B26)</f>
        <v>1401.7477216077928</v>
      </c>
      <c r="D26" s="24">
        <f>SUMIFS(Cuadro!$H$6:$H$485,Cuadro!$L$6:$L$485,B26)</f>
        <v>7557.45631944713</v>
      </c>
      <c r="E26" s="24">
        <f>SUMIFS(Cuadro!$I$6:$I$485,Cuadro!$L$6:$L$485,B26)</f>
        <v>0</v>
      </c>
      <c r="F26" s="24">
        <f>IFERROR(INDEX(Cuadro!$J$6:$J$485,MATCH(B26,Cuadro!$L$6:$L$485,1)),0)</f>
        <v>44224.391273185654</v>
      </c>
    </row>
    <row r="27" spans="2:6" ht="18" customHeight="1">
      <c r="B27" s="21">
        <f>YEAR(Hipoteca!$C$7)+22</f>
        <v>2048</v>
      </c>
      <c r="C27" s="24">
        <f>SUMIFS(Cuadro!$G$6:$G$485,Cuadro!$L$6:$L$485,B27)</f>
        <v>1179.6448092185783</v>
      </c>
      <c r="D27" s="24">
        <f>SUMIFS(Cuadro!$H$6:$H$485,Cuadro!$L$6:$L$485,B27)</f>
        <v>7779.559231836344</v>
      </c>
      <c r="E27" s="24">
        <f>SUMIFS(Cuadro!$I$6:$I$485,Cuadro!$L$6:$L$485,B27)</f>
        <v>0</v>
      </c>
      <c r="F27" s="24">
        <f>IFERROR(INDEX(Cuadro!$J$6:$J$485,MATCH(B27,Cuadro!$L$6:$L$485,1)),0)</f>
        <v>36444.832041349306</v>
      </c>
    </row>
    <row r="28" spans="2:6" ht="18" customHeight="1">
      <c r="B28" s="21">
        <f>YEAR(Hipoteca!$C$7)+23</f>
        <v>2049</v>
      </c>
      <c r="C28" s="24">
        <f>SUMIFS(Cuadro!$G$6:$G$485,Cuadro!$L$6:$L$485,B28)</f>
        <v>951.0146075396019</v>
      </c>
      <c r="D28" s="24">
        <f>SUMIFS(Cuadro!$H$6:$H$485,Cuadro!$L$6:$L$485,B28)</f>
        <v>8008.189433515322</v>
      </c>
      <c r="E28" s="24">
        <f>SUMIFS(Cuadro!$I$6:$I$485,Cuadro!$L$6:$L$485,B28)</f>
        <v>0</v>
      </c>
      <c r="F28" s="24">
        <f>IFERROR(INDEX(Cuadro!$J$6:$J$485,MATCH(B28,Cuadro!$L$6:$L$485,1)),0)</f>
        <v>28436.64260783399</v>
      </c>
    </row>
    <row r="29" spans="2:6" ht="18" customHeight="1">
      <c r="B29" s="21">
        <f>YEAR(Hipoteca!$C$7)+24</f>
        <v>2050</v>
      </c>
      <c r="C29" s="24">
        <f>SUMIFS(Cuadro!$G$6:$G$485,Cuadro!$L$6:$L$485,B29)</f>
        <v>715.6652888050146</v>
      </c>
      <c r="D29" s="24">
        <f>SUMIFS(Cuadro!$H$6:$H$485,Cuadro!$L$6:$L$485,B29)</f>
        <v>8243.53875224991</v>
      </c>
      <c r="E29" s="24">
        <f>SUMIFS(Cuadro!$I$6:$I$485,Cuadro!$L$6:$L$485,B29)</f>
        <v>0</v>
      </c>
      <c r="F29" s="24">
        <f>IFERROR(INDEX(Cuadro!$J$6:$J$485,MATCH(B29,Cuadro!$L$6:$L$485,1)),0)</f>
        <v>20193.10385558408</v>
      </c>
    </row>
    <row r="30" spans="2:6" ht="18" customHeight="1">
      <c r="B30" s="21">
        <f>YEAR(Hipoteca!$C$7)+25</f>
        <v>2051</v>
      </c>
      <c r="C30" s="24">
        <f>SUMIFS(Cuadro!$G$6:$G$485,Cuadro!$L$6:$L$485,B30)</f>
        <v>473.3993877032537</v>
      </c>
      <c r="D30" s="24">
        <f>SUMIFS(Cuadro!$H$6:$H$485,Cuadro!$L$6:$L$485,B30)</f>
        <v>8485.804653351668</v>
      </c>
      <c r="E30" s="24">
        <f>SUMIFS(Cuadro!$I$6:$I$485,Cuadro!$L$6:$L$485,B30)</f>
        <v>0</v>
      </c>
      <c r="F30" s="24">
        <f>IFERROR(INDEX(Cuadro!$J$6:$J$485,MATCH(B30,Cuadro!$L$6:$L$485,1)),0)</f>
        <v>11707.299202232409</v>
      </c>
    </row>
    <row r="31" spans="2:6" ht="18" customHeight="1">
      <c r="B31" s="21">
        <f>YEAR(Hipoteca!$C$7)+26</f>
        <v>2052</v>
      </c>
      <c r="C31" s="24">
        <f>SUMIFS(Cuadro!$G$6:$G$485,Cuadro!$L$6:$L$485,B31)</f>
        <v>224.01363569758004</v>
      </c>
      <c r="D31" s="24">
        <f>SUMIFS(Cuadro!$H$6:$H$485,Cuadro!$L$6:$L$485,B31)</f>
        <v>8735.190405357343</v>
      </c>
      <c r="E31" s="24">
        <f>SUMIFS(Cuadro!$I$6:$I$485,Cuadro!$L$6:$L$485,B31)</f>
        <v>0</v>
      </c>
      <c r="F31" s="24">
        <f>IFERROR(INDEX(Cuadro!$J$6:$J$485,MATCH(B31,Cuadro!$L$6:$L$485,1)),0)</f>
        <v>2972.1087968750658</v>
      </c>
    </row>
    <row r="32" spans="2:6" ht="18" customHeight="1">
      <c r="B32" s="21">
        <f>YEAR(Hipoteca!$C$7)+27</f>
        <v>2053</v>
      </c>
      <c r="C32" s="24">
        <f>SUMIFS(Cuadro!$G$6:$G$485,Cuadro!$L$6:$L$485,B32)</f>
        <v>18.00048297766919</v>
      </c>
      <c r="D32" s="24">
        <f>SUMIFS(Cuadro!$H$6:$H$485,Cuadro!$L$6:$L$485,B32)</f>
        <v>2972.108796875066</v>
      </c>
      <c r="E32" s="24">
        <f>SUMIFS(Cuadro!$I$6:$I$485,Cuadro!$L$6:$L$485,B32)</f>
        <v>0</v>
      </c>
      <c r="F32" s="24">
        <f>IFERROR(INDEX(Cuadro!$J$6:$J$485,MATCH(B32,Cuadro!$L$6:$L$485,1)),0)</f>
        <v>0</v>
      </c>
    </row>
    <row r="33" spans="2:6" ht="18" customHeight="1">
      <c r="B33" s="21">
        <f>YEAR(Hipoteca!$C$7)+28</f>
        <v>2054</v>
      </c>
      <c r="C33" s="24">
        <f>SUMIFS(Cuadro!$G$6:$G$485,Cuadro!$L$6:$L$485,B33)</f>
        <v>0</v>
      </c>
      <c r="D33" s="24">
        <f>SUMIFS(Cuadro!$H$6:$H$485,Cuadro!$L$6:$L$485,B33)</f>
        <v>0</v>
      </c>
      <c r="E33" s="24">
        <f>SUMIFS(Cuadro!$I$6:$I$485,Cuadro!$L$6:$L$485,B33)</f>
        <v>0</v>
      </c>
      <c r="F33" s="24">
        <f>IFERROR(INDEX(Cuadro!$J$6:$J$485,MATCH(B33,Cuadro!$L$6:$L$485,1)),0)</f>
        <v>0</v>
      </c>
    </row>
    <row r="34" spans="2:6" ht="18" customHeight="1">
      <c r="B34" s="21">
        <f>YEAR(Hipoteca!$C$7)+29</f>
        <v>2055</v>
      </c>
      <c r="C34" s="24">
        <f>SUMIFS(Cuadro!$G$6:$G$485,Cuadro!$L$6:$L$485,B34)</f>
        <v>0</v>
      </c>
      <c r="D34" s="24">
        <f>SUMIFS(Cuadro!$H$6:$H$485,Cuadro!$L$6:$L$485,B34)</f>
        <v>0</v>
      </c>
      <c r="E34" s="24">
        <f>SUMIFS(Cuadro!$I$6:$I$485,Cuadro!$L$6:$L$485,B34)</f>
        <v>0</v>
      </c>
      <c r="F34" s="24">
        <f>IFERROR(INDEX(Cuadro!$J$6:$J$485,MATCH(B34,Cuadro!$L$6:$L$485,1)),0)</f>
        <v>0</v>
      </c>
    </row>
    <row r="35" spans="2:6" ht="18" customHeight="1">
      <c r="B35" s="21">
        <f>YEAR(Hipoteca!$C$7)+30</f>
        <v>2056</v>
      </c>
      <c r="C35" s="24">
        <f>SUMIFS(Cuadro!$G$6:$G$485,Cuadro!$L$6:$L$485,B35)</f>
        <v>0</v>
      </c>
      <c r="D35" s="24">
        <f>SUMIFS(Cuadro!$H$6:$H$485,Cuadro!$L$6:$L$485,B35)</f>
        <v>0</v>
      </c>
      <c r="E35" s="24">
        <f>SUMIFS(Cuadro!$I$6:$I$485,Cuadro!$L$6:$L$485,B35)</f>
        <v>0</v>
      </c>
      <c r="F35" s="24">
        <f>IFERROR(INDEX(Cuadro!$J$6:$J$485,MATCH(B35,Cuadro!$L$6:$L$485,1)),0)</f>
        <v>0</v>
      </c>
    </row>
    <row r="36" spans="2:6" ht="18" customHeight="1">
      <c r="B36" s="21">
        <f>YEAR(Hipoteca!$C$7)+31</f>
        <v>2057</v>
      </c>
      <c r="C36" s="24">
        <f>SUMIFS(Cuadro!$G$6:$G$485,Cuadro!$L$6:$L$485,B36)</f>
        <v>0</v>
      </c>
      <c r="D36" s="24">
        <f>SUMIFS(Cuadro!$H$6:$H$485,Cuadro!$L$6:$L$485,B36)</f>
        <v>0</v>
      </c>
      <c r="E36" s="24">
        <f>SUMIFS(Cuadro!$I$6:$I$485,Cuadro!$L$6:$L$485,B36)</f>
        <v>0</v>
      </c>
      <c r="F36" s="24">
        <f>IFERROR(INDEX(Cuadro!$J$6:$J$485,MATCH(B36,Cuadro!$L$6:$L$485,1)),0)</f>
        <v>0</v>
      </c>
    </row>
    <row r="37" spans="2:6" ht="18" customHeight="1">
      <c r="B37" s="21">
        <f>YEAR(Hipoteca!$C$7)+32</f>
        <v>2058</v>
      </c>
      <c r="C37" s="24">
        <f>SUMIFS(Cuadro!$G$6:$G$485,Cuadro!$L$6:$L$485,B37)</f>
        <v>0</v>
      </c>
      <c r="D37" s="24">
        <f>SUMIFS(Cuadro!$H$6:$H$485,Cuadro!$L$6:$L$485,B37)</f>
        <v>0</v>
      </c>
      <c r="E37" s="24">
        <f>SUMIFS(Cuadro!$I$6:$I$485,Cuadro!$L$6:$L$485,B37)</f>
        <v>0</v>
      </c>
      <c r="F37" s="24">
        <f>IFERROR(INDEX(Cuadro!$J$6:$J$485,MATCH(B37,Cuadro!$L$6:$L$485,1)),0)</f>
        <v>0</v>
      </c>
    </row>
    <row r="38" spans="2:6" ht="18" customHeight="1">
      <c r="B38" s="21">
        <f>YEAR(Hipoteca!$C$7)+33</f>
        <v>2059</v>
      </c>
      <c r="C38" s="24">
        <f>SUMIFS(Cuadro!$G$6:$G$485,Cuadro!$L$6:$L$485,B38)</f>
        <v>0</v>
      </c>
      <c r="D38" s="24">
        <f>SUMIFS(Cuadro!$H$6:$H$485,Cuadro!$L$6:$L$485,B38)</f>
        <v>0</v>
      </c>
      <c r="E38" s="24">
        <f>SUMIFS(Cuadro!$I$6:$I$485,Cuadro!$L$6:$L$485,B38)</f>
        <v>0</v>
      </c>
      <c r="F38" s="24">
        <f>IFERROR(INDEX(Cuadro!$J$6:$J$485,MATCH(B38,Cuadro!$L$6:$L$485,1)),0)</f>
        <v>0</v>
      </c>
    </row>
    <row r="39" spans="2:6" ht="18" customHeight="1">
      <c r="B39" s="21">
        <f>YEAR(Hipoteca!$C$7)+34</f>
        <v>2060</v>
      </c>
      <c r="C39" s="24">
        <f>SUMIFS(Cuadro!$G$6:$G$485,Cuadro!$L$6:$L$485,B39)</f>
        <v>0</v>
      </c>
      <c r="D39" s="24">
        <f>SUMIFS(Cuadro!$H$6:$H$485,Cuadro!$L$6:$L$485,B39)</f>
        <v>0</v>
      </c>
      <c r="E39" s="24">
        <f>SUMIFS(Cuadro!$I$6:$I$485,Cuadro!$L$6:$L$485,B39)</f>
        <v>0</v>
      </c>
      <c r="F39" s="24">
        <f>IFERROR(INDEX(Cuadro!$J$6:$J$485,MATCH(B39,Cuadro!$L$6:$L$485,1)),0)</f>
        <v>0</v>
      </c>
    </row>
    <row r="40" spans="2:6" ht="18" customHeight="1">
      <c r="B40" s="21">
        <f>YEAR(Hipoteca!$C$7)+35</f>
        <v>2061</v>
      </c>
      <c r="C40" s="24">
        <f>SUMIFS(Cuadro!$G$6:$G$485,Cuadro!$L$6:$L$485,B40)</f>
        <v>0</v>
      </c>
      <c r="D40" s="24">
        <f>SUMIFS(Cuadro!$H$6:$H$485,Cuadro!$L$6:$L$485,B40)</f>
        <v>0</v>
      </c>
      <c r="E40" s="24">
        <f>SUMIFS(Cuadro!$I$6:$I$485,Cuadro!$L$6:$L$485,B40)</f>
        <v>0</v>
      </c>
      <c r="F40" s="24">
        <f>IFERROR(INDEX(Cuadro!$J$6:$J$485,MATCH(B40,Cuadro!$L$6:$L$485,1)),0)</f>
        <v>0</v>
      </c>
    </row>
    <row r="41" spans="2:6" ht="18" customHeight="1">
      <c r="B41" s="21">
        <f>YEAR(Hipoteca!$C$7)+36</f>
        <v>2062</v>
      </c>
      <c r="C41" s="24">
        <f>SUMIFS(Cuadro!$G$6:$G$485,Cuadro!$L$6:$L$485,B41)</f>
        <v>0</v>
      </c>
      <c r="D41" s="24">
        <f>SUMIFS(Cuadro!$H$6:$H$485,Cuadro!$L$6:$L$485,B41)</f>
        <v>0</v>
      </c>
      <c r="E41" s="24">
        <f>SUMIFS(Cuadro!$I$6:$I$485,Cuadro!$L$6:$L$485,B41)</f>
        <v>0</v>
      </c>
      <c r="F41" s="24">
        <f>IFERROR(INDEX(Cuadro!$J$6:$J$485,MATCH(B41,Cuadro!$L$6:$L$485,1)),0)</f>
        <v>0</v>
      </c>
    </row>
    <row r="42" spans="2:6" ht="18" customHeight="1">
      <c r="B42" s="21">
        <f>YEAR(Hipoteca!$C$7)+37</f>
        <v>2063</v>
      </c>
      <c r="C42" s="24">
        <f>SUMIFS(Cuadro!$G$6:$G$485,Cuadro!$L$6:$L$485,B42)</f>
        <v>0</v>
      </c>
      <c r="D42" s="24">
        <f>SUMIFS(Cuadro!$H$6:$H$485,Cuadro!$L$6:$L$485,B42)</f>
        <v>0</v>
      </c>
      <c r="E42" s="24">
        <f>SUMIFS(Cuadro!$I$6:$I$485,Cuadro!$L$6:$L$485,B42)</f>
        <v>0</v>
      </c>
      <c r="F42" s="24">
        <f>IFERROR(INDEX(Cuadro!$J$6:$J$485,MATCH(B42,Cuadro!$L$6:$L$485,1)),0)</f>
        <v>0</v>
      </c>
    </row>
    <row r="43" spans="2:6" ht="18" customHeight="1">
      <c r="B43" s="21">
        <f>YEAR(Hipoteca!$C$7)+38</f>
        <v>2064</v>
      </c>
      <c r="C43" s="24">
        <f>SUMIFS(Cuadro!$G$6:$G$485,Cuadro!$L$6:$L$485,B43)</f>
        <v>0</v>
      </c>
      <c r="D43" s="24">
        <f>SUMIFS(Cuadro!$H$6:$H$485,Cuadro!$L$6:$L$485,B43)</f>
        <v>0</v>
      </c>
      <c r="E43" s="24">
        <f>SUMIFS(Cuadro!$I$6:$I$485,Cuadro!$L$6:$L$485,B43)</f>
        <v>0</v>
      </c>
      <c r="F43" s="24">
        <f>IFERROR(INDEX(Cuadro!$J$6:$J$485,MATCH(B43,Cuadro!$L$6:$L$485,1)),0)</f>
        <v>0</v>
      </c>
    </row>
    <row r="44" spans="2:6" ht="18" customHeight="1">
      <c r="B44" s="21">
        <f>YEAR(Hipoteca!$C$7)+39</f>
        <v>2065</v>
      </c>
      <c r="C44" s="24">
        <f>SUMIFS(Cuadro!$G$6:$G$485,Cuadro!$L$6:$L$485,B44)</f>
        <v>0</v>
      </c>
      <c r="D44" s="24">
        <f>SUMIFS(Cuadro!$H$6:$H$485,Cuadro!$L$6:$L$485,B44)</f>
        <v>0</v>
      </c>
      <c r="E44" s="24">
        <f>SUMIFS(Cuadro!$I$6:$I$485,Cuadro!$L$6:$L$485,B44)</f>
        <v>0</v>
      </c>
      <c r="F44" s="24">
        <f>IFERROR(INDEX(Cuadro!$J$6:$J$485,MATCH(B44,Cuadro!$L$6:$L$485,1)),0)</f>
        <v>0</v>
      </c>
    </row>
  </sheetData>
  <pageMargins left="0.7" right="0.7" top="0.75" bottom="0.75" header="0.3" footer="0.3"/>
  <pageSetup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D2C0"/>
  </sheetPr>
  <dimension ref="A1:B5"/>
  <sheetViews>
    <sheetView showGridLines="0" workbookViewId="0"/>
  </sheetViews>
  <sheetFormatPr defaultRowHeight="18" customHeight="1"/>
  <cols>
    <col min="1" max="1" width="2.7109375" style="1" customWidth="1"/>
    <col min="2" max="2" width="34.7109375" customWidth="1"/>
  </cols>
  <sheetData>
    <row r="1" spans="2:2" ht="32" customHeight="1">
      <c r="B1" s="2" t="s">
        <v>0</v>
      </c>
    </row>
    <row r="3" spans="2:2" ht="18" customHeight="1">
      <c r="B3" s="7" t="s">
        <v>1</v>
      </c>
    </row>
    <row r="4" spans="2:2" ht="18" customHeight="1">
      <c r="B4" s="26" t="s">
        <v>2</v>
      </c>
    </row>
    <row r="5" spans="2:2" ht="18" customHeight="1">
      <c r="B5" s="2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Instrucciones</vt:lpstr>
      <vt:lpstr>Hipoteca</vt:lpstr>
      <vt:lpstr>Cuadro</vt:lpstr>
      <vt:lpstr>Anual</vt:lpstr>
      <vt:lpstr>Listas</vt:lpstr>
      <vt:lpstr>Anual!Print_Area</vt:lpstr>
      <vt:lpstr>Cuadro!Print_Area</vt:lpstr>
      <vt:lpstr>Hipoteca!Print_Area</vt:lpstr>
      <vt:lpstr>Instrucciones!Print_Area</vt:lpstr>
      <vt:lpstr>Cuadro!Print_Titles</vt:lpstr>
    </vt:vector>
  </TitlesOfParts>
  <Company>WealthUncut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hipoteca: cuadro de amortización</dc:title>
  <dc:subject>Cuota, intereses, revisiones de tipo y amortizaciones anticipadas</dc:subject>
  <dc:creator>David Pérez Mitjà · WealthUncut</dc:creator>
  <dc:description>Plantilla gratuita de wealthuncut.com. Información educativa, no asesoramiento financiero.</dc:description>
  <cp:lastModifiedBy>David Pérez Mitjà · WealthUncut</cp:lastModifiedBy>
  <dcterms:created xsi:type="dcterms:W3CDTF">2026-10-15T12:00:54Z</dcterms:created>
  <dcterms:modified xsi:type="dcterms:W3CDTF">2026-10-15T12:00:54Z</dcterms:modified>
</cp:coreProperties>
</file>